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19395" windowHeight="7170" tabRatio="694" activeTab="3"/>
  </bookViews>
  <sheets>
    <sheet name="直线法1" sheetId="22" r:id="rId1"/>
    <sheet name="直线法2" sheetId="24" r:id="rId2"/>
    <sheet name="年限总和法" sheetId="21" r:id="rId3"/>
    <sheet name="年限总和法2" sheetId="25" r:id="rId4"/>
    <sheet name="双倍余额递减法" sheetId="23" r:id="rId5"/>
    <sheet name="双倍余额递减法2" sheetId="27" r:id="rId6"/>
    <sheet name="Sheet12" sheetId="26" r:id="rId7"/>
  </sheets>
  <calcPr calcId="144525"/>
</workbook>
</file>

<file path=xl/calcChain.xml><?xml version="1.0" encoding="utf-8"?>
<calcChain xmlns="http://schemas.openxmlformats.org/spreadsheetml/2006/main">
  <c r="K15" i="27" l="1"/>
  <c r="I4" i="27"/>
  <c r="H4" i="27"/>
  <c r="G4" i="27"/>
  <c r="H5" i="27"/>
  <c r="H6" i="27"/>
  <c r="H7" i="27"/>
  <c r="H8" i="27"/>
  <c r="H9" i="27"/>
  <c r="H10" i="27"/>
  <c r="H11" i="27"/>
  <c r="H12" i="27"/>
  <c r="H13" i="27"/>
  <c r="H14" i="27"/>
  <c r="H15" i="27"/>
  <c r="H16" i="27"/>
  <c r="M5" i="27"/>
  <c r="M6" i="27"/>
  <c r="M7" i="27"/>
  <c r="M8" i="27"/>
  <c r="M9" i="27"/>
  <c r="M10" i="27"/>
  <c r="M11" i="27"/>
  <c r="M12" i="27"/>
  <c r="M13" i="27"/>
  <c r="M14" i="27"/>
  <c r="M15" i="27"/>
  <c r="M16" i="27"/>
  <c r="M4" i="27"/>
  <c r="O4" i="27"/>
  <c r="O5" i="27"/>
  <c r="O6" i="27"/>
  <c r="O7" i="27"/>
  <c r="O8" i="27"/>
  <c r="O9" i="27"/>
  <c r="O10" i="27"/>
  <c r="O11" i="27"/>
  <c r="O12" i="27"/>
  <c r="O13" i="27"/>
  <c r="O14" i="27"/>
  <c r="O15" i="27"/>
  <c r="O16" i="27"/>
  <c r="N4" i="27"/>
  <c r="N5" i="27"/>
  <c r="N6" i="27"/>
  <c r="N7" i="27"/>
  <c r="N8" i="27"/>
  <c r="N9" i="27"/>
  <c r="N10" i="27"/>
  <c r="N11" i="27"/>
  <c r="N12" i="27"/>
  <c r="N13" i="27"/>
  <c r="N14" i="27"/>
  <c r="N15" i="27"/>
  <c r="N16" i="27"/>
  <c r="L4" i="27"/>
  <c r="K4" i="27"/>
  <c r="J4" i="27"/>
  <c r="L5" i="27"/>
  <c r="L6" i="27"/>
  <c r="L7" i="27"/>
  <c r="L8" i="27"/>
  <c r="L9" i="27"/>
  <c r="L10" i="27"/>
  <c r="L11" i="27"/>
  <c r="L12" i="27"/>
  <c r="L13" i="27"/>
  <c r="L14" i="27"/>
  <c r="L15" i="27"/>
  <c r="L16" i="27"/>
  <c r="K5" i="27"/>
  <c r="K6" i="27"/>
  <c r="K7" i="27"/>
  <c r="K8" i="27"/>
  <c r="K9" i="27"/>
  <c r="K10" i="27"/>
  <c r="K11" i="27"/>
  <c r="K12" i="27"/>
  <c r="K13" i="27"/>
  <c r="K14" i="27"/>
  <c r="K16" i="27"/>
  <c r="K1" i="27"/>
  <c r="J5" i="27"/>
  <c r="J6" i="27"/>
  <c r="J7" i="27"/>
  <c r="J8" i="27"/>
  <c r="J9" i="27"/>
  <c r="J10" i="27"/>
  <c r="J11" i="27"/>
  <c r="J12" i="27"/>
  <c r="J13" i="27"/>
  <c r="J14" i="27"/>
  <c r="J15" i="27"/>
  <c r="J16" i="27"/>
  <c r="F11" i="23"/>
  <c r="G13" i="23"/>
  <c r="G12" i="23"/>
  <c r="H12" i="23"/>
  <c r="F12" i="23"/>
  <c r="F13" i="23"/>
  <c r="F4" i="23"/>
  <c r="F5" i="23"/>
  <c r="F6" i="23"/>
  <c r="F7" i="23"/>
  <c r="F8" i="23"/>
  <c r="F9" i="23"/>
  <c r="F10" i="23"/>
  <c r="D4" i="23"/>
  <c r="G5" i="27"/>
  <c r="I5" i="27" s="1"/>
  <c r="G6" i="27"/>
  <c r="I6" i="27" s="1"/>
  <c r="G7" i="27"/>
  <c r="I7" i="27" s="1"/>
  <c r="G8" i="27"/>
  <c r="I8" i="27" s="1"/>
  <c r="G9" i="27"/>
  <c r="I9" i="27" s="1"/>
  <c r="G10" i="27"/>
  <c r="I10" i="27" s="1"/>
  <c r="G11" i="27"/>
  <c r="I11" i="27" s="1"/>
  <c r="G12" i="27"/>
  <c r="I12" i="27" s="1"/>
  <c r="G13" i="27"/>
  <c r="I13" i="27" s="1"/>
  <c r="G14" i="27"/>
  <c r="I14" i="27" s="1"/>
  <c r="G15" i="27"/>
  <c r="I15" i="27" s="1"/>
  <c r="G16" i="27"/>
  <c r="I16" i="27" s="1"/>
  <c r="D5" i="23"/>
  <c r="D6" i="23"/>
  <c r="D7" i="23"/>
  <c r="D8" i="23"/>
  <c r="D9" i="23"/>
  <c r="D10" i="23"/>
  <c r="D11" i="23"/>
  <c r="B14" i="23" s="1"/>
  <c r="I4" i="25"/>
  <c r="H4" i="25"/>
  <c r="G4" i="25"/>
  <c r="I5" i="24"/>
  <c r="I6" i="24"/>
  <c r="I7" i="24"/>
  <c r="I8" i="24"/>
  <c r="I9" i="24"/>
  <c r="I10" i="24"/>
  <c r="I11" i="24"/>
  <c r="I12" i="24"/>
  <c r="I13" i="24"/>
  <c r="I14" i="24"/>
  <c r="I15" i="24"/>
  <c r="I16" i="24"/>
  <c r="I4" i="24"/>
  <c r="H16" i="24"/>
  <c r="G16" i="24"/>
  <c r="H15" i="24"/>
  <c r="G15" i="24"/>
  <c r="H14" i="24"/>
  <c r="G14" i="24"/>
  <c r="H13" i="24"/>
  <c r="G13" i="24"/>
  <c r="H12" i="24"/>
  <c r="G12" i="24"/>
  <c r="H11" i="24"/>
  <c r="G11" i="24"/>
  <c r="H10" i="24"/>
  <c r="G10" i="24"/>
  <c r="H9" i="24"/>
  <c r="G9" i="24"/>
  <c r="H8" i="24"/>
  <c r="G8" i="24"/>
  <c r="H7" i="24"/>
  <c r="G7" i="24"/>
  <c r="H6" i="24"/>
  <c r="G6" i="24"/>
  <c r="H5" i="24"/>
  <c r="G5" i="24"/>
  <c r="H4" i="24"/>
  <c r="G4" i="24"/>
  <c r="I5" i="25"/>
  <c r="I6" i="25"/>
  <c r="I7" i="25"/>
  <c r="I8" i="25"/>
  <c r="I9" i="25"/>
  <c r="I10" i="25"/>
  <c r="I11" i="25"/>
  <c r="I12" i="25"/>
  <c r="I13" i="25"/>
  <c r="I14" i="25"/>
  <c r="I15" i="25"/>
  <c r="I16" i="25"/>
  <c r="G5" i="25"/>
  <c r="G6" i="25"/>
  <c r="G7" i="25"/>
  <c r="G8" i="25"/>
  <c r="G9" i="25"/>
  <c r="G10" i="25"/>
  <c r="G11" i="25"/>
  <c r="G12" i="25"/>
  <c r="G13" i="25"/>
  <c r="G14" i="25"/>
  <c r="G15" i="25"/>
  <c r="G16" i="25"/>
  <c r="H5" i="25"/>
  <c r="H6" i="25"/>
  <c r="H7" i="25"/>
  <c r="H8" i="25"/>
  <c r="H9" i="25"/>
  <c r="H10" i="25"/>
  <c r="H11" i="25"/>
  <c r="H12" i="25"/>
  <c r="H13" i="25"/>
  <c r="H14" i="25"/>
  <c r="H15" i="25"/>
  <c r="H16" i="25"/>
  <c r="C5" i="22"/>
  <c r="C6" i="22"/>
  <c r="C7" i="22"/>
  <c r="C8" i="22"/>
  <c r="C4" i="22"/>
  <c r="B4" i="22"/>
  <c r="B5" i="22"/>
  <c r="B6" i="22"/>
  <c r="B7" i="22"/>
  <c r="B8" i="22"/>
  <c r="B11" i="23" l="1"/>
  <c r="B10" i="23"/>
  <c r="B9" i="23"/>
  <c r="B8" i="23"/>
  <c r="B7" i="23"/>
  <c r="B6" i="23"/>
  <c r="B5" i="23"/>
  <c r="B4" i="23"/>
  <c r="C4" i="23" s="1"/>
  <c r="B5" i="21"/>
  <c r="B6" i="21"/>
  <c r="B7" i="21"/>
  <c r="B8" i="21"/>
  <c r="B4" i="21"/>
  <c r="C4" i="21" s="1"/>
  <c r="C5" i="23" l="1"/>
  <c r="C5" i="21"/>
  <c r="C6" i="23" l="1"/>
  <c r="C6" i="21"/>
  <c r="C7" i="23" l="1"/>
  <c r="C8" i="23" s="1"/>
  <c r="C7" i="21"/>
  <c r="C9" i="23" l="1"/>
  <c r="C8" i="21"/>
  <c r="C10" i="23" l="1"/>
  <c r="C11" i="23" l="1"/>
  <c r="B12" i="23" s="1"/>
  <c r="B13" i="23" l="1"/>
  <c r="C12" i="23" l="1"/>
  <c r="C13" i="23" l="1"/>
</calcChain>
</file>

<file path=xl/sharedStrings.xml><?xml version="1.0" encoding="utf-8"?>
<sst xmlns="http://schemas.openxmlformats.org/spreadsheetml/2006/main" count="128" uniqueCount="63">
  <si>
    <t>原值</t>
    <phoneticPr fontId="1" type="noConversion"/>
  </si>
  <si>
    <t>残值率</t>
    <phoneticPr fontId="1" type="noConversion"/>
  </si>
  <si>
    <t>累计折旧</t>
    <phoneticPr fontId="1" type="noConversion"/>
  </si>
  <si>
    <t>A1</t>
    <phoneticPr fontId="1" type="noConversion"/>
  </si>
  <si>
    <t>A2</t>
  </si>
  <si>
    <t>A3</t>
  </si>
  <si>
    <t>A4</t>
  </si>
  <si>
    <t>A5</t>
  </si>
  <si>
    <t>A6</t>
  </si>
  <si>
    <t>A7</t>
  </si>
  <si>
    <t>A8</t>
  </si>
  <si>
    <t>A9</t>
  </si>
  <si>
    <t>原值</t>
    <phoneticPr fontId="1" type="noConversion"/>
  </si>
  <si>
    <t>期限</t>
    <phoneticPr fontId="1" type="noConversion"/>
  </si>
  <si>
    <t>残值率</t>
    <phoneticPr fontId="1" type="noConversion"/>
  </si>
  <si>
    <t>使用期限</t>
    <phoneticPr fontId="1" type="noConversion"/>
  </si>
  <si>
    <t>折旧金额</t>
    <phoneticPr fontId="1" type="noConversion"/>
  </si>
  <si>
    <t>Y*2/N</t>
    <phoneticPr fontId="1" type="noConversion"/>
  </si>
  <si>
    <t>余额</t>
    <phoneticPr fontId="1" type="noConversion"/>
  </si>
  <si>
    <t>Y*(1-2/N)</t>
    <phoneticPr fontId="1" type="noConversion"/>
  </si>
  <si>
    <t>Y*(1-2/N)^2</t>
    <phoneticPr fontId="1" type="noConversion"/>
  </si>
  <si>
    <t>图E1-1  （点击看大图）</t>
    <phoneticPr fontId="1" type="noConversion"/>
  </si>
  <si>
    <t>当期折旧金额</t>
    <phoneticPr fontId="1" type="noConversion"/>
  </si>
  <si>
    <t>序号</t>
    <phoneticPr fontId="1" type="noConversion"/>
  </si>
  <si>
    <t>资产名称</t>
    <phoneticPr fontId="1" type="noConversion"/>
  </si>
  <si>
    <t>入账日期</t>
    <phoneticPr fontId="1" type="noConversion"/>
  </si>
  <si>
    <t>使用年限</t>
    <phoneticPr fontId="1" type="noConversion"/>
  </si>
  <si>
    <t>月折旧</t>
    <phoneticPr fontId="1" type="noConversion"/>
  </si>
  <si>
    <t>年折旧</t>
    <phoneticPr fontId="1" type="noConversion"/>
  </si>
  <si>
    <t>A10</t>
  </si>
  <si>
    <t>A11</t>
  </si>
  <si>
    <t>A12</t>
  </si>
  <si>
    <t>A13</t>
  </si>
  <si>
    <t>合计</t>
    <phoneticPr fontId="1" type="noConversion"/>
  </si>
  <si>
    <t>查询月度：</t>
    <phoneticPr fontId="1" type="noConversion"/>
  </si>
  <si>
    <t>固定资产折旧明细表</t>
    <phoneticPr fontId="1" type="noConversion"/>
  </si>
  <si>
    <t>图E1-2  （点击看大图）</t>
    <phoneticPr fontId="1" type="noConversion"/>
  </si>
  <si>
    <t>=5/15</t>
    <phoneticPr fontId="1" type="noConversion"/>
  </si>
  <si>
    <t>=(5+4)/15</t>
    <phoneticPr fontId="1" type="noConversion"/>
  </si>
  <si>
    <t>=(5+4+3)/15</t>
    <phoneticPr fontId="1" type="noConversion"/>
  </si>
  <si>
    <t>=(5+4+3+2)/15</t>
    <phoneticPr fontId="1" type="noConversion"/>
  </si>
  <si>
    <t>=(5+4+3+2+1)/15</t>
    <phoneticPr fontId="1" type="noConversion"/>
  </si>
  <si>
    <t>图E1-2  （点击看大图）</t>
    <phoneticPr fontId="1" type="noConversion"/>
  </si>
  <si>
    <t>图E1-3  （点击看大图）</t>
    <phoneticPr fontId="1" type="noConversion"/>
  </si>
  <si>
    <t>=15-（3+2+1）</t>
    <phoneticPr fontId="1" type="noConversion"/>
  </si>
  <si>
    <t>=15-（2+1）</t>
    <phoneticPr fontId="1" type="noConversion"/>
  </si>
  <si>
    <t>=15-（1）</t>
    <phoneticPr fontId="1" type="noConversion"/>
  </si>
  <si>
    <t>=15-（0）</t>
    <phoneticPr fontId="1" type="noConversion"/>
  </si>
  <si>
    <t>折旧率累计分子</t>
    <phoneticPr fontId="1" type="noConversion"/>
  </si>
  <si>
    <t>折旧率累计</t>
    <phoneticPr fontId="1" type="noConversion"/>
  </si>
  <si>
    <t>=15-（4+3+2+1）</t>
    <phoneticPr fontId="1" type="noConversion"/>
  </si>
  <si>
    <t>累计折旧</t>
    <phoneticPr fontId="1" type="noConversion"/>
  </si>
  <si>
    <t>&lt;0</t>
    <phoneticPr fontId="1" type="noConversion"/>
  </si>
  <si>
    <t>&lt;1</t>
    <phoneticPr fontId="1" type="noConversion"/>
  </si>
  <si>
    <t>年*月/12</t>
    <phoneticPr fontId="1" type="noConversion"/>
  </si>
  <si>
    <t>&lt;N-2</t>
    <phoneticPr fontId="1" type="noConversion"/>
  </si>
  <si>
    <t>上年*月/12+下年*月/12</t>
    <phoneticPr fontId="1" type="noConversion"/>
  </si>
  <si>
    <t>最后*月/12</t>
    <phoneticPr fontId="1" type="noConversion"/>
  </si>
  <si>
    <t>&lt;=N-1</t>
    <phoneticPr fontId="1" type="noConversion"/>
  </si>
  <si>
    <t>&lt;N</t>
    <phoneticPr fontId="1" type="noConversion"/>
  </si>
  <si>
    <t>(N-2)*月/12+最后/12</t>
    <phoneticPr fontId="1" type="noConversion"/>
  </si>
  <si>
    <t>最后2期</t>
    <phoneticPr fontId="1" type="noConversion"/>
  </si>
  <si>
    <t>=N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</si>
</sst>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¥&quot;#,##0.00;[Red]&quot;¥&quot;\-#,##0.00"/>
    <numFmt numFmtId="43" formatCode="_ * #,##0.00_ ;_ * \-#,##0.00_ ;_ * &quot;-&quot;??_ ;_ @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43" fontId="3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0" fillId="0" borderId="0" xfId="5" applyFont="1" applyAlignment="1">
      <alignment horizontal="center" vertical="center"/>
    </xf>
    <xf numFmtId="43" fontId="0" fillId="0" borderId="0" xfId="5" applyFont="1">
      <alignment vertical="center"/>
    </xf>
    <xf numFmtId="43" fontId="0" fillId="0" borderId="1" xfId="5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3" fontId="0" fillId="0" borderId="1" xfId="5" applyFont="1" applyBorder="1" applyAlignment="1">
      <alignment horizontal="center" vertical="center" shrinkToFit="1"/>
    </xf>
    <xf numFmtId="9" fontId="0" fillId="0" borderId="1" xfId="0" applyNumberFormat="1" applyBorder="1" applyAlignment="1">
      <alignment horizontal="center" vertical="center" shrinkToFit="1"/>
    </xf>
    <xf numFmtId="43" fontId="0" fillId="0" borderId="0" xfId="5" applyFont="1" applyAlignment="1">
      <alignment horizontal="center" vertical="center" shrinkToFit="1"/>
    </xf>
    <xf numFmtId="0" fontId="0" fillId="0" borderId="0" xfId="0" applyNumberFormat="1" applyAlignment="1">
      <alignment horizontal="center" vertical="center" shrinkToFit="1"/>
    </xf>
    <xf numFmtId="9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4" borderId="0" xfId="0" applyFill="1" applyAlignment="1">
      <alignment horizontal="right" vertical="center" shrinkToFit="1"/>
    </xf>
    <xf numFmtId="57" fontId="5" fillId="2" borderId="3" xfId="0" applyNumberFormat="1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8" fontId="0" fillId="0" borderId="0" xfId="0" applyNumberFormat="1" applyAlignment="1">
      <alignment horizontal="center" vertical="center" shrinkToFit="1"/>
    </xf>
    <xf numFmtId="0" fontId="6" fillId="3" borderId="0" xfId="0" applyFont="1" applyFill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14" fontId="6" fillId="3" borderId="1" xfId="0" applyNumberFormat="1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</cellXfs>
  <cellStyles count="6">
    <cellStyle name="常规" xfId="0" builtinId="0"/>
    <cellStyle name="常规 2 2" xfId="2"/>
    <cellStyle name="常规 3" xfId="4"/>
    <cellStyle name="常规 4" xfId="1"/>
    <cellStyle name="常规 5" xfId="3"/>
    <cellStyle name="千位分隔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21" sqref="C21"/>
    </sheetView>
  </sheetViews>
  <sheetFormatPr defaultRowHeight="13.5"/>
  <cols>
    <col min="1" max="2" width="16.125" customWidth="1"/>
    <col min="3" max="3" width="14.375" customWidth="1"/>
  </cols>
  <sheetData>
    <row r="1" spans="1:6" s="1" customFormat="1" ht="16.5" customHeight="1">
      <c r="A1" s="2" t="s">
        <v>12</v>
      </c>
      <c r="B1" s="2" t="s">
        <v>14</v>
      </c>
      <c r="C1" s="2" t="s">
        <v>13</v>
      </c>
      <c r="F1" s="8"/>
    </row>
    <row r="2" spans="1:6" s="1" customFormat="1" ht="16.5" customHeight="1">
      <c r="A2" s="6">
        <v>100000</v>
      </c>
      <c r="B2" s="7">
        <v>0.05</v>
      </c>
      <c r="C2" s="2">
        <v>5</v>
      </c>
      <c r="F2" s="8"/>
    </row>
    <row r="3" spans="1:6" s="1" customFormat="1" ht="16.5" customHeight="1">
      <c r="A3" s="2" t="s">
        <v>15</v>
      </c>
      <c r="B3" s="2" t="s">
        <v>22</v>
      </c>
      <c r="C3" s="2" t="s">
        <v>2</v>
      </c>
      <c r="F3" s="8"/>
    </row>
    <row r="4" spans="1:6" s="1" customFormat="1" ht="16.5" customHeight="1">
      <c r="A4" s="2">
        <v>1</v>
      </c>
      <c r="B4" s="6">
        <f>SLN($A$2,$A$2*$B$2,$C$2)</f>
        <v>19000</v>
      </c>
      <c r="C4" s="6">
        <f>SLN($A$2,$A$2*$B$2,$C$2)*A4</f>
        <v>19000</v>
      </c>
      <c r="F4" s="8"/>
    </row>
    <row r="5" spans="1:6" s="1" customFormat="1" ht="16.5" customHeight="1">
      <c r="A5" s="2">
        <v>2</v>
      </c>
      <c r="B5" s="6">
        <f t="shared" ref="B5:B8" si="0">SLN($A$2,$A$2*$B$2,$C$2)</f>
        <v>19000</v>
      </c>
      <c r="C5" s="6">
        <f t="shared" ref="C5:C8" si="1">SLN($A$2,$A$2*$B$2,$C$2)*A5</f>
        <v>38000</v>
      </c>
      <c r="F5" s="8"/>
    </row>
    <row r="6" spans="1:6" s="1" customFormat="1" ht="16.5" customHeight="1">
      <c r="A6" s="2">
        <v>3</v>
      </c>
      <c r="B6" s="6">
        <f t="shared" si="0"/>
        <v>19000</v>
      </c>
      <c r="C6" s="6">
        <f t="shared" si="1"/>
        <v>57000</v>
      </c>
      <c r="F6" s="8"/>
    </row>
    <row r="7" spans="1:6" s="1" customFormat="1" ht="16.5" customHeight="1">
      <c r="A7" s="2">
        <v>4</v>
      </c>
      <c r="B7" s="6">
        <f t="shared" si="0"/>
        <v>19000</v>
      </c>
      <c r="C7" s="6">
        <f t="shared" si="1"/>
        <v>76000</v>
      </c>
      <c r="F7" s="8"/>
    </row>
    <row r="8" spans="1:6" s="1" customFormat="1" ht="16.5" customHeight="1">
      <c r="A8" s="2">
        <v>5</v>
      </c>
      <c r="B8" s="6">
        <f t="shared" si="0"/>
        <v>19000</v>
      </c>
      <c r="C8" s="6">
        <f t="shared" si="1"/>
        <v>95000</v>
      </c>
      <c r="F8" s="8"/>
    </row>
    <row r="9" spans="1:6" ht="16.5" customHeight="1">
      <c r="A9" s="3" t="s">
        <v>21</v>
      </c>
      <c r="B9" s="3"/>
      <c r="C9" s="3"/>
    </row>
  </sheetData>
  <mergeCells count="1">
    <mergeCell ref="A9:C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I4" sqref="I4"/>
    </sheetView>
  </sheetViews>
  <sheetFormatPr defaultRowHeight="13.5"/>
  <cols>
    <col min="1" max="1" width="6.875" style="8" customWidth="1"/>
    <col min="2" max="2" width="8.625" style="8" customWidth="1"/>
    <col min="3" max="3" width="11.5" style="8" customWidth="1"/>
    <col min="4" max="4" width="10.5" style="8" customWidth="1"/>
    <col min="5" max="5" width="7.75" style="8" customWidth="1"/>
    <col min="6" max="6" width="9" style="8"/>
    <col min="7" max="9" width="10.75" style="8" customWidth="1"/>
    <col min="10" max="16384" width="9" style="8"/>
  </cols>
  <sheetData>
    <row r="1" spans="1:9" ht="21" customHeight="1">
      <c r="A1" s="24" t="s">
        <v>35</v>
      </c>
      <c r="B1" s="25"/>
      <c r="C1" s="25"/>
      <c r="D1" s="25"/>
      <c r="E1" s="25"/>
      <c r="F1" s="25"/>
      <c r="G1" s="25"/>
      <c r="H1" s="25"/>
      <c r="I1" s="25"/>
    </row>
    <row r="2" spans="1:9" ht="21" customHeight="1">
      <c r="D2" s="21" t="s">
        <v>34</v>
      </c>
      <c r="E2" s="22">
        <v>43100</v>
      </c>
      <c r="F2" s="23"/>
    </row>
    <row r="3" spans="1:9">
      <c r="A3" s="9" t="s">
        <v>23</v>
      </c>
      <c r="B3" s="9" t="s">
        <v>24</v>
      </c>
      <c r="C3" s="9" t="s">
        <v>25</v>
      </c>
      <c r="D3" s="9" t="s">
        <v>0</v>
      </c>
      <c r="E3" s="9" t="s">
        <v>1</v>
      </c>
      <c r="F3" s="9" t="s">
        <v>26</v>
      </c>
      <c r="G3" s="9" t="s">
        <v>27</v>
      </c>
      <c r="H3" s="9" t="s">
        <v>28</v>
      </c>
      <c r="I3" s="9" t="s">
        <v>2</v>
      </c>
    </row>
    <row r="4" spans="1:9">
      <c r="A4" s="9">
        <v>1</v>
      </c>
      <c r="B4" s="9" t="s">
        <v>3</v>
      </c>
      <c r="C4" s="19">
        <v>42736</v>
      </c>
      <c r="D4" s="10">
        <v>100000</v>
      </c>
      <c r="E4" s="11">
        <v>0.05</v>
      </c>
      <c r="F4" s="9">
        <v>5</v>
      </c>
      <c r="G4" s="10">
        <f>ROUND(IF($E$2&lt;C4,0,IF(AND(DATEDIF(C4,$E$2,"M")&gt;0,DATEDIF(C4,$E$2,"M")&lt;=F4*12),SLN(D4,D4*E4,F4*12),0)),2)</f>
        <v>1583.33</v>
      </c>
      <c r="H4" s="10">
        <f>ROUND(IF(DATE(YEAR($E$2),12,31)&lt;C4,0,IF(DATEDIF(C4,DATE(YEAR($E$2),12,31),"M")&lt;12,SLN(D4,D4*E4,F4*12)*DATEDIF(C4,DATE(YEAR($E$2),12,31),"M"),IF(AND(DATEDIF(C4,DATE(YEAR($E$2),12,31),"M")&gt;=12,DATEDIF(C4,DATE(YEAR($E$2),1,1),"Y")&lt;F4),SLN(D4,D4*E4,F4),0))),2)</f>
        <v>17416.669999999998</v>
      </c>
      <c r="I4" s="10">
        <f>ROUND(IF($E$2&lt;C4,0,IF(AND(DATEDIF(C4,$E$2,"M")&gt;=0,DATEDIF(C4,$E$2,"M")&lt;=F4*12),SLN(D4,D4*E4,F4*12)*DATEDIF(C4,$E$2,"M"),D4*(1-E4))),2)</f>
        <v>17416.669999999998</v>
      </c>
    </row>
    <row r="5" spans="1:9">
      <c r="A5" s="9">
        <v>2</v>
      </c>
      <c r="B5" s="9" t="s">
        <v>4</v>
      </c>
      <c r="C5" s="19">
        <v>42371</v>
      </c>
      <c r="D5" s="10">
        <v>100000</v>
      </c>
      <c r="E5" s="11">
        <v>0.05</v>
      </c>
      <c r="F5" s="9">
        <v>5</v>
      </c>
      <c r="G5" s="10">
        <f t="shared" ref="G5:G16" si="0">ROUND(IF($E$2&lt;C5,0,IF(AND(DATEDIF(C5,$E$2,"M")&gt;0,DATEDIF(C5,$E$2,"M")&lt;=F5*12),SLN(D5,D5*E5,F5*12),0)),2)</f>
        <v>1583.33</v>
      </c>
      <c r="H5" s="10">
        <f t="shared" ref="H5:H16" si="1">ROUND(IF(DATE(YEAR($E$2),12,31)&lt;C5,0,IF(DATEDIF(C5,DATE(YEAR($E$2),12,31),"M")&lt;12,SLN(D5,D5*E5,F5*12)*DATEDIF(C5,DATE(YEAR($E$2),12,31),"M"),IF(AND(DATEDIF(C5,DATE(YEAR($E$2),12,31),"M")&gt;=12,DATEDIF(C5,DATE(YEAR($E$2),1,1),"Y")&lt;F5),SLN(D5,D5*E5,F5),0))),2)</f>
        <v>19000</v>
      </c>
      <c r="I5" s="10">
        <f t="shared" ref="I5:I16" si="2">ROUND(IF($E$2&lt;C5,0,IF(AND(DATEDIF(C5,$E$2,"M")&gt;=0,DATEDIF(C5,$E$2,"M")&lt;=F5*12),SLN(D5,D5*E5,F5*12)*DATEDIF(C5,$E$2,"M"),D5*(1-E5))),2)</f>
        <v>36416.67</v>
      </c>
    </row>
    <row r="6" spans="1:9">
      <c r="A6" s="9">
        <v>3</v>
      </c>
      <c r="B6" s="9" t="s">
        <v>5</v>
      </c>
      <c r="C6" s="19">
        <v>42007</v>
      </c>
      <c r="D6" s="10">
        <v>100000</v>
      </c>
      <c r="E6" s="11">
        <v>0.05</v>
      </c>
      <c r="F6" s="9">
        <v>5</v>
      </c>
      <c r="G6" s="10">
        <f t="shared" si="0"/>
        <v>1583.33</v>
      </c>
      <c r="H6" s="10">
        <f t="shared" si="1"/>
        <v>19000</v>
      </c>
      <c r="I6" s="10">
        <f t="shared" si="2"/>
        <v>55416.67</v>
      </c>
    </row>
    <row r="7" spans="1:9">
      <c r="A7" s="9">
        <v>4</v>
      </c>
      <c r="B7" s="9" t="s">
        <v>6</v>
      </c>
      <c r="C7" s="19">
        <v>43104</v>
      </c>
      <c r="D7" s="10">
        <v>100000</v>
      </c>
      <c r="E7" s="11">
        <v>0.05</v>
      </c>
      <c r="F7" s="9">
        <v>5</v>
      </c>
      <c r="G7" s="10">
        <f t="shared" si="0"/>
        <v>0</v>
      </c>
      <c r="H7" s="10">
        <f t="shared" si="1"/>
        <v>0</v>
      </c>
      <c r="I7" s="10">
        <f t="shared" si="2"/>
        <v>0</v>
      </c>
    </row>
    <row r="8" spans="1:9">
      <c r="A8" s="9">
        <v>5</v>
      </c>
      <c r="B8" s="9" t="s">
        <v>7</v>
      </c>
      <c r="C8" s="19">
        <v>41644</v>
      </c>
      <c r="D8" s="10">
        <v>100000</v>
      </c>
      <c r="E8" s="11">
        <v>0.05</v>
      </c>
      <c r="F8" s="9">
        <v>5</v>
      </c>
      <c r="G8" s="10">
        <f t="shared" si="0"/>
        <v>1583.33</v>
      </c>
      <c r="H8" s="10">
        <f t="shared" si="1"/>
        <v>19000</v>
      </c>
      <c r="I8" s="10">
        <f t="shared" si="2"/>
        <v>74416.67</v>
      </c>
    </row>
    <row r="9" spans="1:9">
      <c r="A9" s="9">
        <v>6</v>
      </c>
      <c r="B9" s="9" t="s">
        <v>8</v>
      </c>
      <c r="C9" s="19">
        <v>42795</v>
      </c>
      <c r="D9" s="10">
        <v>100000</v>
      </c>
      <c r="E9" s="11">
        <v>0.05</v>
      </c>
      <c r="F9" s="9">
        <v>5</v>
      </c>
      <c r="G9" s="10">
        <f t="shared" si="0"/>
        <v>1583.33</v>
      </c>
      <c r="H9" s="10">
        <f t="shared" si="1"/>
        <v>14250</v>
      </c>
      <c r="I9" s="10">
        <f t="shared" si="2"/>
        <v>14250</v>
      </c>
    </row>
    <row r="10" spans="1:9">
      <c r="A10" s="9">
        <v>7</v>
      </c>
      <c r="B10" s="9" t="s">
        <v>9</v>
      </c>
      <c r="C10" s="19">
        <v>42742</v>
      </c>
      <c r="D10" s="10">
        <v>100000</v>
      </c>
      <c r="E10" s="11">
        <v>0.05</v>
      </c>
      <c r="F10" s="9">
        <v>5</v>
      </c>
      <c r="G10" s="10">
        <f t="shared" si="0"/>
        <v>1583.33</v>
      </c>
      <c r="H10" s="10">
        <f t="shared" si="1"/>
        <v>17416.669999999998</v>
      </c>
      <c r="I10" s="10">
        <f t="shared" si="2"/>
        <v>17416.669999999998</v>
      </c>
    </row>
    <row r="11" spans="1:9">
      <c r="A11" s="9">
        <v>8</v>
      </c>
      <c r="B11" s="9" t="s">
        <v>10</v>
      </c>
      <c r="C11" s="19">
        <v>42743</v>
      </c>
      <c r="D11" s="10">
        <v>100000</v>
      </c>
      <c r="E11" s="11">
        <v>0.05</v>
      </c>
      <c r="F11" s="9">
        <v>5</v>
      </c>
      <c r="G11" s="10">
        <f t="shared" si="0"/>
        <v>1583.33</v>
      </c>
      <c r="H11" s="10">
        <f t="shared" si="1"/>
        <v>17416.669999999998</v>
      </c>
      <c r="I11" s="10">
        <f t="shared" si="2"/>
        <v>17416.669999999998</v>
      </c>
    </row>
    <row r="12" spans="1:9">
      <c r="A12" s="9">
        <v>9</v>
      </c>
      <c r="B12" s="9" t="s">
        <v>11</v>
      </c>
      <c r="C12" s="19">
        <v>42705</v>
      </c>
      <c r="D12" s="10">
        <v>100000</v>
      </c>
      <c r="E12" s="11">
        <v>0.05</v>
      </c>
      <c r="F12" s="9">
        <v>5</v>
      </c>
      <c r="G12" s="10">
        <f t="shared" si="0"/>
        <v>1583.33</v>
      </c>
      <c r="H12" s="10">
        <f t="shared" si="1"/>
        <v>19000</v>
      </c>
      <c r="I12" s="10">
        <f t="shared" si="2"/>
        <v>19000</v>
      </c>
    </row>
    <row r="13" spans="1:9">
      <c r="A13" s="9">
        <v>10</v>
      </c>
      <c r="B13" s="9" t="s">
        <v>29</v>
      </c>
      <c r="C13" s="19">
        <v>42745</v>
      </c>
      <c r="D13" s="10">
        <v>100000</v>
      </c>
      <c r="E13" s="11">
        <v>0.05</v>
      </c>
      <c r="F13" s="9">
        <v>5</v>
      </c>
      <c r="G13" s="10">
        <f t="shared" si="0"/>
        <v>1583.33</v>
      </c>
      <c r="H13" s="10">
        <f t="shared" si="1"/>
        <v>17416.669999999998</v>
      </c>
      <c r="I13" s="10">
        <f t="shared" si="2"/>
        <v>17416.669999999998</v>
      </c>
    </row>
    <row r="14" spans="1:9">
      <c r="A14" s="9">
        <v>11</v>
      </c>
      <c r="B14" s="9" t="s">
        <v>30</v>
      </c>
      <c r="C14" s="19">
        <v>42746</v>
      </c>
      <c r="D14" s="10">
        <v>100000</v>
      </c>
      <c r="E14" s="11">
        <v>0.05</v>
      </c>
      <c r="F14" s="9">
        <v>5</v>
      </c>
      <c r="G14" s="10">
        <f t="shared" si="0"/>
        <v>1583.33</v>
      </c>
      <c r="H14" s="10">
        <f t="shared" si="1"/>
        <v>17416.669999999998</v>
      </c>
      <c r="I14" s="10">
        <f t="shared" si="2"/>
        <v>17416.669999999998</v>
      </c>
    </row>
    <row r="15" spans="1:9">
      <c r="A15" s="9">
        <v>12</v>
      </c>
      <c r="B15" s="9" t="s">
        <v>31</v>
      </c>
      <c r="C15" s="19">
        <v>42747</v>
      </c>
      <c r="D15" s="10">
        <v>100000</v>
      </c>
      <c r="E15" s="11">
        <v>0.05</v>
      </c>
      <c r="F15" s="9">
        <v>5</v>
      </c>
      <c r="G15" s="10">
        <f t="shared" si="0"/>
        <v>1583.33</v>
      </c>
      <c r="H15" s="10">
        <f t="shared" si="1"/>
        <v>17416.669999999998</v>
      </c>
      <c r="I15" s="10">
        <f t="shared" si="2"/>
        <v>17416.669999999998</v>
      </c>
    </row>
    <row r="16" spans="1:9">
      <c r="A16" s="9">
        <v>13</v>
      </c>
      <c r="B16" s="9" t="s">
        <v>32</v>
      </c>
      <c r="C16" s="19">
        <v>43040</v>
      </c>
      <c r="D16" s="10">
        <v>100000</v>
      </c>
      <c r="E16" s="11">
        <v>0.05</v>
      </c>
      <c r="F16" s="9">
        <v>5</v>
      </c>
      <c r="G16" s="10">
        <f t="shared" si="0"/>
        <v>1583.33</v>
      </c>
      <c r="H16" s="10">
        <f t="shared" si="1"/>
        <v>1583.33</v>
      </c>
      <c r="I16" s="10">
        <f t="shared" si="2"/>
        <v>1583.33</v>
      </c>
    </row>
    <row r="17" spans="1:9">
      <c r="A17" s="9"/>
      <c r="B17" s="9" t="s">
        <v>33</v>
      </c>
      <c r="C17" s="9"/>
      <c r="D17" s="9"/>
      <c r="E17" s="9"/>
      <c r="F17" s="9"/>
      <c r="G17" s="9"/>
      <c r="H17" s="9"/>
      <c r="I17" s="9"/>
    </row>
    <row r="18" spans="1:9" ht="19.5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</sheetData>
  <mergeCells count="3">
    <mergeCell ref="A18:I18"/>
    <mergeCell ref="A1:I1"/>
    <mergeCell ref="E2: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10" sqref="F10"/>
    </sheetView>
  </sheetViews>
  <sheetFormatPr defaultRowHeight="13.5"/>
  <cols>
    <col min="1" max="1" width="13.25" style="1" customWidth="1"/>
    <col min="2" max="3" width="13.125" style="1" customWidth="1"/>
    <col min="4" max="4" width="19.5" style="16" customWidth="1"/>
    <col min="5" max="5" width="18.25" style="16" customWidth="1"/>
    <col min="6" max="6" width="26.375" style="1" customWidth="1"/>
    <col min="7" max="7" width="10.125" style="8" customWidth="1"/>
    <col min="8" max="9" width="13.375" style="1" customWidth="1"/>
    <col min="10" max="10" width="10.375" style="1" customWidth="1"/>
    <col min="11" max="16384" width="9" style="1"/>
  </cols>
  <sheetData>
    <row r="1" spans="1:5" ht="17.25" customHeight="1">
      <c r="A1" s="2" t="s">
        <v>12</v>
      </c>
      <c r="B1" s="2" t="s">
        <v>14</v>
      </c>
      <c r="C1" s="2" t="s">
        <v>13</v>
      </c>
      <c r="D1" s="30"/>
    </row>
    <row r="2" spans="1:5" ht="17.25" customHeight="1">
      <c r="A2" s="6">
        <v>100000</v>
      </c>
      <c r="B2" s="7">
        <v>0.05</v>
      </c>
      <c r="C2" s="2">
        <v>5</v>
      </c>
      <c r="D2" s="30"/>
    </row>
    <row r="3" spans="1:5" ht="17.25" customHeight="1">
      <c r="A3" s="2" t="s">
        <v>15</v>
      </c>
      <c r="B3" s="2" t="s">
        <v>16</v>
      </c>
      <c r="C3" s="2" t="s">
        <v>2</v>
      </c>
      <c r="D3" s="2" t="s">
        <v>49</v>
      </c>
      <c r="E3" s="2" t="s">
        <v>48</v>
      </c>
    </row>
    <row r="4" spans="1:5" ht="17.25" customHeight="1">
      <c r="A4" s="2">
        <v>1</v>
      </c>
      <c r="B4" s="18">
        <f>SYD($A$2,$A$2*$B$2,$C$2,A4)</f>
        <v>31666.666666666668</v>
      </c>
      <c r="C4" s="18">
        <f>B4</f>
        <v>31666.666666666668</v>
      </c>
      <c r="D4" s="30" t="s">
        <v>37</v>
      </c>
      <c r="E4" s="30" t="s">
        <v>50</v>
      </c>
    </row>
    <row r="5" spans="1:5" ht="17.25" customHeight="1">
      <c r="A5" s="2">
        <v>2</v>
      </c>
      <c r="B5" s="18">
        <f>SYD($A$2,$A$2*$B$2,$C$2,A5)</f>
        <v>25333.333333333332</v>
      </c>
      <c r="C5" s="18">
        <f>B5+C4</f>
        <v>57000</v>
      </c>
      <c r="D5" s="30" t="s">
        <v>38</v>
      </c>
      <c r="E5" s="30" t="s">
        <v>44</v>
      </c>
    </row>
    <row r="6" spans="1:5" ht="17.25" customHeight="1">
      <c r="A6" s="2">
        <v>3</v>
      </c>
      <c r="B6" s="18">
        <f>SYD($A$2,$A$2*$B$2,$C$2,A6)</f>
        <v>19000</v>
      </c>
      <c r="C6" s="18">
        <f>B6+C5</f>
        <v>76000</v>
      </c>
      <c r="D6" s="30" t="s">
        <v>39</v>
      </c>
      <c r="E6" s="30" t="s">
        <v>45</v>
      </c>
    </row>
    <row r="7" spans="1:5" ht="17.25" customHeight="1">
      <c r="A7" s="2">
        <v>4</v>
      </c>
      <c r="B7" s="18">
        <f>SYD($A$2,$A$2*$B$2,$C$2,A7)</f>
        <v>12666.666666666666</v>
      </c>
      <c r="C7" s="18">
        <f>B7+C6</f>
        <v>88666.666666666672</v>
      </c>
      <c r="D7" s="30" t="s">
        <v>40</v>
      </c>
      <c r="E7" s="30" t="s">
        <v>46</v>
      </c>
    </row>
    <row r="8" spans="1:5" ht="17.25" customHeight="1">
      <c r="A8" s="2">
        <v>5</v>
      </c>
      <c r="B8" s="18">
        <f>SYD($A$2,$A$2*$B$2,$C$2,A8)</f>
        <v>6333.333333333333</v>
      </c>
      <c r="C8" s="18">
        <f>B8+C7</f>
        <v>95000</v>
      </c>
      <c r="D8" s="30" t="s">
        <v>41</v>
      </c>
      <c r="E8" s="30" t="s">
        <v>47</v>
      </c>
    </row>
    <row r="9" spans="1:5" ht="22.5" customHeight="1">
      <c r="A9" s="3" t="s">
        <v>43</v>
      </c>
      <c r="B9" s="3"/>
      <c r="C9" s="3"/>
      <c r="D9" s="3"/>
    </row>
    <row r="19" spans="2:3">
      <c r="B19" s="15"/>
      <c r="C19" s="15"/>
    </row>
  </sheetData>
  <mergeCells count="1">
    <mergeCell ref="A9:D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K21" sqref="K21"/>
    </sheetView>
  </sheetViews>
  <sheetFormatPr defaultRowHeight="13.5"/>
  <cols>
    <col min="1" max="1" width="6.875" style="8" customWidth="1"/>
    <col min="2" max="2" width="8.625" style="8" customWidth="1"/>
    <col min="3" max="3" width="11.5" style="27" customWidth="1"/>
    <col min="4" max="4" width="10.5" style="8" customWidth="1"/>
    <col min="5" max="5" width="7.75" style="8" customWidth="1"/>
    <col min="6" max="6" width="9" style="8"/>
    <col min="7" max="9" width="10.75" style="8" customWidth="1"/>
    <col min="10" max="16384" width="9" style="8"/>
  </cols>
  <sheetData>
    <row r="1" spans="1:9" ht="21" customHeight="1">
      <c r="A1" s="24" t="s">
        <v>35</v>
      </c>
      <c r="B1" s="25"/>
      <c r="C1" s="25"/>
      <c r="D1" s="25"/>
      <c r="E1" s="25"/>
      <c r="F1" s="25"/>
      <c r="G1" s="25"/>
      <c r="H1" s="25"/>
      <c r="I1" s="25"/>
    </row>
    <row r="2" spans="1:9" ht="21" customHeight="1">
      <c r="D2" s="21" t="s">
        <v>34</v>
      </c>
      <c r="E2" s="22">
        <v>42736</v>
      </c>
      <c r="F2" s="23"/>
    </row>
    <row r="3" spans="1:9">
      <c r="A3" s="9" t="s">
        <v>23</v>
      </c>
      <c r="B3" s="9" t="s">
        <v>24</v>
      </c>
      <c r="C3" s="28" t="s">
        <v>25</v>
      </c>
      <c r="D3" s="9" t="s">
        <v>0</v>
      </c>
      <c r="E3" s="9" t="s">
        <v>1</v>
      </c>
      <c r="F3" s="9" t="s">
        <v>26</v>
      </c>
      <c r="G3" s="9" t="s">
        <v>27</v>
      </c>
      <c r="H3" s="9" t="s">
        <v>28</v>
      </c>
      <c r="I3" s="9" t="s">
        <v>2</v>
      </c>
    </row>
    <row r="4" spans="1:9">
      <c r="A4" s="9">
        <v>1</v>
      </c>
      <c r="B4" s="9" t="s">
        <v>3</v>
      </c>
      <c r="C4" s="29">
        <v>42736</v>
      </c>
      <c r="D4" s="10">
        <v>100000</v>
      </c>
      <c r="E4" s="11">
        <v>0.05</v>
      </c>
      <c r="F4" s="9">
        <v>5</v>
      </c>
      <c r="G4" s="10">
        <f>ROUND(IF($E$2&lt;C4,0,IF(AND(DATEDIF(C4,$E$2,"M")&gt;0,DATEDIF(C4,$E$2,"M")&lt;=F4*12),SYD(D4,D4*E4,F4,ROUNDUP(DATEDIF(C4,$E$2,"M")/12,0)),0))/12,2)</f>
        <v>0</v>
      </c>
      <c r="H4" s="10">
        <f>IF(OR(DATE(YEAR($E$2),12,31)&lt;=C4,DATE(YEAR($E$2),12,31)-C4&lt;30),0,IF(DATEDIF(C4,DATE(YEAR($E$2),12,31),"M")&lt;12,SYD(D4,D4*E4,F4,ROUNDUP(DATEDIF(C4,DATE(YEAR($E$2),12,31),"M")/12,0))*MOD(DATEDIF(C4,DATE(YEAR($E$2),12,31),"M"),12),IF(DATEDIF(C4,DATE(YEAR($E$2),12,31),"M")&lt;=F4*12,SYD(D4,D4*E4,F4,ROUNDUP(DATEDIF(C4,DATE(YEAR($E$2),12,31),"M")/12,0))*MOD(DATEDIF(C4,DATE(YEAR($E$2),12,31),"M"),12)+SYD(D4,D4*E4,F4,ROUNDDOWN(DATEDIF(C4,DATE(YEAR($E$2),12,31),"M")/12,0))*(12-MOD(DATEDIF(C4,DATE(YEAR($E$2),12,31),"M"),12)),IF(DATEDIF(C4,DATE(YEAR($E$2),12,31),"M")&lt;=F4*12+11,SYD(D4,D4*E4,F4,F4)*MONTH(C4),0))))/12</f>
        <v>29027.777777777781</v>
      </c>
      <c r="I4" s="10">
        <f>IF(EOMONTH($E$2,0)&lt;C4,0,IF(AND(DATEDIF(C4,EOMONTH($E$2,0),"M")&gt;=0,DATEDIF(C4,EOMONTH($E$2,0),"M")&lt;F4*12),D4*(1-E4)*((1+F4)*F4-(1+F4-INT(DATEDIF(C4,EOMONTH($E$2,0),"M")/12))*(F4-INT(DATEDIF(C4,EOMONTH($E$2,0),"M")/12)))/((1+F4)*F4)+SYD(D4,D4*E4,F4,DATEDIF(C4,EOMONTH($E$2,0),"Y")+1)*DATEDIF(C4,EOMONTH($E$2,0),"YM")/12,D4*(1-E4)))</f>
        <v>0</v>
      </c>
    </row>
    <row r="5" spans="1:9">
      <c r="A5" s="9">
        <v>2</v>
      </c>
      <c r="B5" s="9" t="s">
        <v>4</v>
      </c>
      <c r="C5" s="29">
        <v>42371</v>
      </c>
      <c r="D5" s="10">
        <v>100000</v>
      </c>
      <c r="E5" s="11">
        <v>0.05</v>
      </c>
      <c r="F5" s="9">
        <v>5</v>
      </c>
      <c r="G5" s="10">
        <f t="shared" ref="G4:G16" si="0">ROUND(IF($E$2&lt;C5,0,IF(AND(DATEDIF(C5,$E$2,"M")&gt;0,DATEDIF(C5,$E$2,"M")&lt;=F5*12),SYD(D5,D5*E5,F5,ROUNDUP(DATEDIF(C5,$E$2,"M")/12,0)),0))/12,2)</f>
        <v>2638.89</v>
      </c>
      <c r="H5" s="10">
        <f t="shared" ref="H5:H16" si="1">IF(OR(DATE(YEAR($E$2),12,31)&lt;=C5,DATE(YEAR($E$2),12,31)-C5&lt;30),0,IF(DATEDIF(C5,DATE(YEAR($E$2),12,31),"M")&lt;12,SYD(D5,D5*E5,F5,ROUNDUP(DATEDIF(C5,DATE(YEAR($E$2),12,31),"M")/12,0))*MOD(DATEDIF(C5,DATE(YEAR($E$2),12,31),"M"),12),IF(DATEDIF(C5,DATE(YEAR($E$2),12,31),"M")&lt;=F5*12,SYD(D5,D5*E5,F5,ROUNDUP(DATEDIF(C5,DATE(YEAR($E$2),12,31),"M")/12,0))*MOD(DATEDIF(C5,DATE(YEAR($E$2),12,31),"M"),12)+SYD(D5,D5*E5,F5,ROUNDDOWN(DATEDIF(C5,DATE(YEAR($E$2),12,31),"M")/12,0))*(12-MOD(DATEDIF(C5,DATE(YEAR($E$2),12,31),"M"),12)),IF(DATEDIF(C5,DATE(YEAR($E$2),12,31),"M")&lt;=F5*12+11,SYD(D5,D5*E5,F5,F5)*MONTH(C5),0))))/12</f>
        <v>25861.111111111109</v>
      </c>
      <c r="I5" s="10">
        <f t="shared" ref="I5:I16" si="2">IF(EOMONTH($E$2,0)&lt;C5,0,IF(AND(DATEDIF(C5,EOMONTH($E$2,0),"M")&gt;=0,DATEDIF(C5,EOMONTH($E$2,0),"M")&lt;F5*12),D5*(1-E5)*((1+F5)*F5-(1+F5-INT(DATEDIF(C5,EOMONTH($E$2,0),"M")/12))*(F5-INT(DATEDIF(C5,EOMONTH($E$2,0),"M")/12)))/((1+F5)*F5)+SYD(D5,D5*E5,F5,DATEDIF(C5,EOMONTH($E$2,0),"Y")+1)*DATEDIF(C5,EOMONTH($E$2,0),"YM")/12,D5*(1-E5)))</f>
        <v>31666.666666666668</v>
      </c>
    </row>
    <row r="6" spans="1:9">
      <c r="A6" s="9">
        <v>3</v>
      </c>
      <c r="B6" s="9" t="s">
        <v>5</v>
      </c>
      <c r="C6" s="29">
        <v>42007</v>
      </c>
      <c r="D6" s="10">
        <v>100000</v>
      </c>
      <c r="E6" s="11">
        <v>0.05</v>
      </c>
      <c r="F6" s="9">
        <v>5</v>
      </c>
      <c r="G6" s="10">
        <f t="shared" si="0"/>
        <v>2111.11</v>
      </c>
      <c r="H6" s="10">
        <f t="shared" si="1"/>
        <v>19527.777777777777</v>
      </c>
      <c r="I6" s="10">
        <f t="shared" si="2"/>
        <v>57000</v>
      </c>
    </row>
    <row r="7" spans="1:9">
      <c r="A7" s="9">
        <v>4</v>
      </c>
      <c r="B7" s="9" t="s">
        <v>6</v>
      </c>
      <c r="C7" s="29">
        <v>43104</v>
      </c>
      <c r="D7" s="10">
        <v>100000</v>
      </c>
      <c r="E7" s="11">
        <v>0.05</v>
      </c>
      <c r="F7" s="9">
        <v>5</v>
      </c>
      <c r="G7" s="10">
        <f t="shared" si="0"/>
        <v>0</v>
      </c>
      <c r="H7" s="10">
        <f t="shared" si="1"/>
        <v>0</v>
      </c>
      <c r="I7" s="10">
        <f t="shared" si="2"/>
        <v>0</v>
      </c>
    </row>
    <row r="8" spans="1:9">
      <c r="A8" s="9">
        <v>5</v>
      </c>
      <c r="B8" s="9" t="s">
        <v>7</v>
      </c>
      <c r="C8" s="29">
        <v>41644</v>
      </c>
      <c r="D8" s="10">
        <v>100000</v>
      </c>
      <c r="E8" s="11">
        <v>0.05</v>
      </c>
      <c r="F8" s="9">
        <v>5</v>
      </c>
      <c r="G8" s="10">
        <f t="shared" si="0"/>
        <v>1583.33</v>
      </c>
      <c r="H8" s="10">
        <f t="shared" si="1"/>
        <v>13194.444444444443</v>
      </c>
      <c r="I8" s="10">
        <f t="shared" si="2"/>
        <v>76000</v>
      </c>
    </row>
    <row r="9" spans="1:9">
      <c r="A9" s="9">
        <v>6</v>
      </c>
      <c r="B9" s="9" t="s">
        <v>8</v>
      </c>
      <c r="C9" s="29">
        <v>42795</v>
      </c>
      <c r="D9" s="10">
        <v>100000</v>
      </c>
      <c r="E9" s="11">
        <v>0.05</v>
      </c>
      <c r="F9" s="9">
        <v>5</v>
      </c>
      <c r="G9" s="10">
        <f t="shared" si="0"/>
        <v>0</v>
      </c>
      <c r="H9" s="10">
        <f t="shared" si="1"/>
        <v>23750</v>
      </c>
      <c r="I9" s="10">
        <f t="shared" si="2"/>
        <v>0</v>
      </c>
    </row>
    <row r="10" spans="1:9">
      <c r="A10" s="9">
        <v>7</v>
      </c>
      <c r="B10" s="9" t="s">
        <v>9</v>
      </c>
      <c r="C10" s="29">
        <v>42742</v>
      </c>
      <c r="D10" s="10">
        <v>100000</v>
      </c>
      <c r="E10" s="11">
        <v>0.05</v>
      </c>
      <c r="F10" s="9">
        <v>5</v>
      </c>
      <c r="G10" s="10">
        <f t="shared" si="0"/>
        <v>0</v>
      </c>
      <c r="H10" s="10">
        <f t="shared" si="1"/>
        <v>29027.777777777781</v>
      </c>
      <c r="I10" s="10">
        <f t="shared" si="2"/>
        <v>0</v>
      </c>
    </row>
    <row r="11" spans="1:9">
      <c r="A11" s="9">
        <v>8</v>
      </c>
      <c r="B11" s="9" t="s">
        <v>10</v>
      </c>
      <c r="C11" s="29">
        <v>43077</v>
      </c>
      <c r="D11" s="10">
        <v>100000</v>
      </c>
      <c r="E11" s="11">
        <v>0.05</v>
      </c>
      <c r="F11" s="9">
        <v>5</v>
      </c>
      <c r="G11" s="10">
        <f t="shared" si="0"/>
        <v>0</v>
      </c>
      <c r="H11" s="10">
        <f t="shared" si="1"/>
        <v>0</v>
      </c>
      <c r="I11" s="10">
        <f t="shared" si="2"/>
        <v>0</v>
      </c>
    </row>
    <row r="12" spans="1:9">
      <c r="A12" s="9">
        <v>9</v>
      </c>
      <c r="B12" s="9" t="s">
        <v>11</v>
      </c>
      <c r="C12" s="29">
        <v>42705</v>
      </c>
      <c r="D12" s="10">
        <v>100000</v>
      </c>
      <c r="E12" s="11">
        <v>0.05</v>
      </c>
      <c r="F12" s="9">
        <v>5</v>
      </c>
      <c r="G12" s="10">
        <f t="shared" si="0"/>
        <v>2638.89</v>
      </c>
      <c r="H12" s="10">
        <f t="shared" si="1"/>
        <v>31666.666666666668</v>
      </c>
      <c r="I12" s="10">
        <f t="shared" si="2"/>
        <v>2638.8888888888891</v>
      </c>
    </row>
    <row r="13" spans="1:9">
      <c r="A13" s="9">
        <v>10</v>
      </c>
      <c r="B13" s="9" t="s">
        <v>29</v>
      </c>
      <c r="C13" s="29">
        <v>43018</v>
      </c>
      <c r="D13" s="10">
        <v>100000</v>
      </c>
      <c r="E13" s="11">
        <v>0.05</v>
      </c>
      <c r="F13" s="9">
        <v>5</v>
      </c>
      <c r="G13" s="10">
        <f t="shared" si="0"/>
        <v>0</v>
      </c>
      <c r="H13" s="10">
        <f t="shared" si="1"/>
        <v>5277.7777777777783</v>
      </c>
      <c r="I13" s="10">
        <f t="shared" si="2"/>
        <v>0</v>
      </c>
    </row>
    <row r="14" spans="1:9">
      <c r="A14" s="9">
        <v>11</v>
      </c>
      <c r="B14" s="9" t="s">
        <v>30</v>
      </c>
      <c r="C14" s="29">
        <v>43050</v>
      </c>
      <c r="D14" s="10">
        <v>100000</v>
      </c>
      <c r="E14" s="11">
        <v>0.05</v>
      </c>
      <c r="F14" s="9">
        <v>5</v>
      </c>
      <c r="G14" s="10">
        <f t="shared" si="0"/>
        <v>0</v>
      </c>
      <c r="H14" s="10">
        <f t="shared" si="1"/>
        <v>2638.8888888888891</v>
      </c>
      <c r="I14" s="10">
        <f t="shared" si="2"/>
        <v>0</v>
      </c>
    </row>
    <row r="15" spans="1:9">
      <c r="A15" s="9">
        <v>12</v>
      </c>
      <c r="B15" s="9" t="s">
        <v>31</v>
      </c>
      <c r="C15" s="29">
        <v>43081</v>
      </c>
      <c r="D15" s="10">
        <v>100000</v>
      </c>
      <c r="E15" s="11">
        <v>0.05</v>
      </c>
      <c r="F15" s="9">
        <v>5</v>
      </c>
      <c r="G15" s="10">
        <f t="shared" si="0"/>
        <v>0</v>
      </c>
      <c r="H15" s="10">
        <f t="shared" si="1"/>
        <v>0</v>
      </c>
      <c r="I15" s="10">
        <f t="shared" si="2"/>
        <v>0</v>
      </c>
    </row>
    <row r="16" spans="1:9">
      <c r="A16" s="9">
        <v>13</v>
      </c>
      <c r="B16" s="9" t="s">
        <v>32</v>
      </c>
      <c r="C16" s="29">
        <v>43040</v>
      </c>
      <c r="D16" s="10">
        <v>100000</v>
      </c>
      <c r="E16" s="11">
        <v>0.05</v>
      </c>
      <c r="F16" s="9">
        <v>5</v>
      </c>
      <c r="G16" s="10">
        <f t="shared" si="0"/>
        <v>0</v>
      </c>
      <c r="H16" s="10">
        <f t="shared" si="1"/>
        <v>2638.8888888888891</v>
      </c>
      <c r="I16" s="10">
        <f t="shared" si="2"/>
        <v>0</v>
      </c>
    </row>
    <row r="17" spans="1:9">
      <c r="A17" s="9"/>
      <c r="B17" s="9" t="s">
        <v>33</v>
      </c>
      <c r="C17" s="28"/>
      <c r="D17" s="9"/>
      <c r="E17" s="9"/>
      <c r="F17" s="9"/>
      <c r="G17" s="9"/>
      <c r="H17" s="9"/>
      <c r="I17" s="9"/>
    </row>
    <row r="18" spans="1:9" ht="19.5" customHeight="1">
      <c r="A18" s="20" t="s">
        <v>42</v>
      </c>
      <c r="B18" s="20"/>
      <c r="C18" s="20"/>
      <c r="D18" s="20"/>
      <c r="E18" s="20"/>
      <c r="F18" s="20"/>
      <c r="G18" s="20"/>
      <c r="H18" s="20"/>
      <c r="I18" s="20"/>
    </row>
  </sheetData>
  <mergeCells count="3">
    <mergeCell ref="A1:I1"/>
    <mergeCell ref="E2:F2"/>
    <mergeCell ref="A18:I1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16" sqref="D16"/>
    </sheetView>
  </sheetViews>
  <sheetFormatPr defaultRowHeight="13.5"/>
  <cols>
    <col min="1" max="1" width="14.375" customWidth="1"/>
    <col min="2" max="2" width="14.75" customWidth="1"/>
    <col min="3" max="3" width="18.625" customWidth="1"/>
    <col min="4" max="4" width="15.375" style="5" customWidth="1"/>
    <col min="5" max="5" width="12.875" customWidth="1"/>
    <col min="6" max="6" width="12" customWidth="1"/>
    <col min="7" max="7" width="14.75" customWidth="1"/>
    <col min="8" max="8" width="12.25" customWidth="1"/>
  </cols>
  <sheetData>
    <row r="1" spans="1:8" s="1" customFormat="1">
      <c r="A1" s="1" t="s">
        <v>12</v>
      </c>
      <c r="B1" s="1" t="s">
        <v>14</v>
      </c>
      <c r="C1" s="1" t="s">
        <v>13</v>
      </c>
      <c r="D1" s="4"/>
    </row>
    <row r="2" spans="1:8" s="1" customFormat="1">
      <c r="A2" s="4">
        <v>100000</v>
      </c>
      <c r="B2" s="14">
        <v>0.05</v>
      </c>
      <c r="C2" s="1">
        <v>10</v>
      </c>
      <c r="D2" s="4"/>
    </row>
    <row r="3" spans="1:8" s="1" customFormat="1">
      <c r="A3" s="1" t="s">
        <v>15</v>
      </c>
      <c r="B3" s="1" t="s">
        <v>16</v>
      </c>
      <c r="C3" s="1" t="s">
        <v>2</v>
      </c>
      <c r="D3" s="4" t="s">
        <v>18</v>
      </c>
      <c r="F3" s="1" t="s">
        <v>51</v>
      </c>
      <c r="G3" s="1" t="s">
        <v>2</v>
      </c>
    </row>
    <row r="4" spans="1:8" s="1" customFormat="1">
      <c r="A4" s="1">
        <v>1</v>
      </c>
      <c r="B4" s="15">
        <f>DDB($A$2,$A$2*$B$2,$C$2,A4)</f>
        <v>20000</v>
      </c>
      <c r="C4" s="15">
        <f>B4</f>
        <v>20000</v>
      </c>
      <c r="D4" s="4">
        <f>$A$2*(1-2/$C$2)^A4</f>
        <v>80000</v>
      </c>
      <c r="E4" s="1" t="s">
        <v>19</v>
      </c>
      <c r="F4" s="17">
        <f>$A$2-$A$2*(1-2/$C$2)^A4</f>
        <v>20000</v>
      </c>
      <c r="G4" s="1" t="s">
        <v>17</v>
      </c>
    </row>
    <row r="5" spans="1:8" s="1" customFormat="1">
      <c r="A5" s="1">
        <v>2</v>
      </c>
      <c r="B5" s="15">
        <f>DDB($A$2,$A$2*$B$2,$C$2,A5)</f>
        <v>16000</v>
      </c>
      <c r="C5" s="15">
        <f>B5+C4</f>
        <v>36000</v>
      </c>
      <c r="D5" s="4">
        <f t="shared" ref="D5:D11" si="0">$A$2*(1-2/$C$2)^A5</f>
        <v>64000.000000000015</v>
      </c>
      <c r="E5" s="1" t="s">
        <v>20</v>
      </c>
      <c r="F5" s="17">
        <f t="shared" ref="F5:F11" si="1">$A$2-$A$2*(1-2/$C$2)^A5</f>
        <v>35999.999999999985</v>
      </c>
      <c r="G5" s="1" t="s">
        <v>20</v>
      </c>
    </row>
    <row r="6" spans="1:8" s="1" customFormat="1">
      <c r="A6" s="1">
        <v>3</v>
      </c>
      <c r="B6" s="15">
        <f>DDB($A$2,$A$2*$B$2,$C$2,A6)</f>
        <v>12800.000000000004</v>
      </c>
      <c r="C6" s="15">
        <f>B6+C5</f>
        <v>48800</v>
      </c>
      <c r="D6" s="4">
        <f t="shared" si="0"/>
        <v>51200.000000000015</v>
      </c>
      <c r="F6" s="17">
        <f t="shared" si="1"/>
        <v>48799.999999999985</v>
      </c>
    </row>
    <row r="7" spans="1:8" s="1" customFormat="1">
      <c r="A7" s="1">
        <v>4</v>
      </c>
      <c r="B7" s="15">
        <f>DDB($A$2,$A$2*$B$2,$C$2,A7)</f>
        <v>10240.000000000004</v>
      </c>
      <c r="C7" s="15">
        <f>B7+C6</f>
        <v>59040</v>
      </c>
      <c r="D7" s="4">
        <f t="shared" si="0"/>
        <v>40960.000000000022</v>
      </c>
      <c r="F7" s="17">
        <f t="shared" si="1"/>
        <v>59039.999999999978</v>
      </c>
    </row>
    <row r="8" spans="1:8" s="1" customFormat="1">
      <c r="A8" s="1">
        <v>5</v>
      </c>
      <c r="B8" s="15">
        <f>DDB($A$2,$A$2*$B$2,$C$2,A8)</f>
        <v>8192.0000000000055</v>
      </c>
      <c r="C8" s="15">
        <f>B8+C7</f>
        <v>67232</v>
      </c>
      <c r="D8" s="4">
        <f t="shared" si="0"/>
        <v>32768.000000000022</v>
      </c>
      <c r="F8" s="17">
        <f t="shared" si="1"/>
        <v>67231.999999999971</v>
      </c>
    </row>
    <row r="9" spans="1:8" s="1" customFormat="1">
      <c r="A9" s="1">
        <v>6</v>
      </c>
      <c r="B9" s="15">
        <f>DDB($A$2,$A$2*$B$2,$C$2,A9)</f>
        <v>6553.6000000000049</v>
      </c>
      <c r="C9" s="15">
        <f>B9+C8</f>
        <v>73785.600000000006</v>
      </c>
      <c r="D9" s="4">
        <f t="shared" si="0"/>
        <v>26214.400000000016</v>
      </c>
      <c r="F9" s="17">
        <f t="shared" si="1"/>
        <v>73785.599999999977</v>
      </c>
    </row>
    <row r="10" spans="1:8" s="1" customFormat="1">
      <c r="A10" s="1">
        <v>7</v>
      </c>
      <c r="B10" s="15">
        <f>DDB($A$2,$A$2*$B$2,$C$2,A10)</f>
        <v>5242.8800000000037</v>
      </c>
      <c r="C10" s="15">
        <f>B10+C9</f>
        <v>79028.48000000001</v>
      </c>
      <c r="D10" s="4">
        <f t="shared" si="0"/>
        <v>20971.520000000015</v>
      </c>
      <c r="F10" s="17">
        <f t="shared" si="1"/>
        <v>79028.479999999981</v>
      </c>
    </row>
    <row r="11" spans="1:8" s="1" customFormat="1">
      <c r="A11" s="1">
        <v>8</v>
      </c>
      <c r="B11" s="15">
        <f>DDB($A$2,$A$2*$B$2,$C$2,A11)</f>
        <v>4194.3040000000028</v>
      </c>
      <c r="C11" s="15">
        <f>B11+C10</f>
        <v>83222.784000000014</v>
      </c>
      <c r="D11" s="4">
        <f t="shared" si="0"/>
        <v>16777.216000000015</v>
      </c>
      <c r="F11" s="17">
        <f>$A$2-$A$2*(1-2/$C$2)^A11</f>
        <v>83222.783999999985</v>
      </c>
    </row>
    <row r="12" spans="1:8" s="1" customFormat="1">
      <c r="A12" s="1">
        <v>9</v>
      </c>
      <c r="B12" s="4">
        <f>($A$2*(1-$B$2)-$C$11)/2</f>
        <v>5888.6079999999929</v>
      </c>
      <c r="C12" s="15">
        <f>B12+C11</f>
        <v>89111.392000000007</v>
      </c>
      <c r="D12" s="4"/>
      <c r="F12" s="1">
        <f>$A$2*((1-2/$C$2)^($C$2-2)-$B$2)/2</f>
        <v>5888.6080000000065</v>
      </c>
      <c r="G12" s="17">
        <f>$A$2-$A$2*(1-2/$C$2)^($C$2-2)+$A$2*((1-2/$C$2)^($C$2-2)-$B$2)/2</f>
        <v>89111.391999999993</v>
      </c>
      <c r="H12" s="1">
        <f>A2*(2-(1-2/C2)^(C2-2)-B2)/2</f>
        <v>89111.391999999993</v>
      </c>
    </row>
    <row r="13" spans="1:8" s="1" customFormat="1">
      <c r="A13" s="1">
        <v>10</v>
      </c>
      <c r="B13" s="4">
        <f>($A$2*(1-$B$2)-$C$11)/2</f>
        <v>5888.6079999999929</v>
      </c>
      <c r="C13" s="15">
        <f>B13+C12</f>
        <v>95000</v>
      </c>
      <c r="D13" s="4"/>
      <c r="F13" s="1">
        <f>$A$2*((1-2/$C$2)^($C$2-2)-$B$2)/2</f>
        <v>5888.6080000000065</v>
      </c>
      <c r="G13" s="17">
        <f>$A$2-$A$2*(1-2/$C$2)^($C$2-2)+$A$2*((1-2/$C$2)^($C$2-2)-$B$2)</f>
        <v>95000</v>
      </c>
    </row>
    <row r="14" spans="1:8">
      <c r="B14">
        <f>(D11-A2*B2)/2</f>
        <v>5888.6080000000075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opLeftCell="C1" workbookViewId="0">
      <selection activeCell="L21" sqref="L21"/>
    </sheetView>
  </sheetViews>
  <sheetFormatPr defaultRowHeight="13.5"/>
  <cols>
    <col min="1" max="1" width="6.875" style="8" customWidth="1"/>
    <col min="2" max="2" width="8.625" style="8" customWidth="1"/>
    <col min="3" max="3" width="11.5" style="27" customWidth="1"/>
    <col min="4" max="4" width="10.5" style="8" customWidth="1"/>
    <col min="5" max="5" width="7.75" style="8" customWidth="1"/>
    <col min="6" max="6" width="9" style="8"/>
    <col min="7" max="9" width="10.75" style="8" customWidth="1"/>
    <col min="10" max="10" width="9" style="13"/>
    <col min="11" max="11" width="12.125" style="13" customWidth="1"/>
    <col min="12" max="12" width="17.375" style="13" customWidth="1"/>
    <col min="13" max="13" width="12.625" style="13" customWidth="1"/>
    <col min="14" max="14" width="11.5" style="13" customWidth="1"/>
    <col min="15" max="15" width="11" style="13" customWidth="1"/>
    <col min="16" max="16384" width="9" style="8"/>
  </cols>
  <sheetData>
    <row r="1" spans="1:16" ht="21" customHeight="1">
      <c r="A1" s="24" t="s">
        <v>35</v>
      </c>
      <c r="B1" s="25"/>
      <c r="C1" s="25"/>
      <c r="D1" s="25"/>
      <c r="E1" s="25"/>
      <c r="F1" s="25"/>
      <c r="G1" s="25"/>
      <c r="H1" s="25"/>
      <c r="I1" s="25"/>
      <c r="K1" s="26">
        <f>DDB(D4,,F4,1)</f>
        <v>40000</v>
      </c>
    </row>
    <row r="2" spans="1:16" ht="21" customHeight="1">
      <c r="D2" s="21" t="s">
        <v>34</v>
      </c>
      <c r="E2" s="22">
        <v>44197</v>
      </c>
      <c r="F2" s="23"/>
      <c r="J2" s="13" t="s">
        <v>52</v>
      </c>
      <c r="K2" s="13" t="s">
        <v>53</v>
      </c>
      <c r="L2" s="13" t="s">
        <v>55</v>
      </c>
      <c r="M2" s="13" t="s">
        <v>58</v>
      </c>
      <c r="N2" s="13" t="s">
        <v>59</v>
      </c>
      <c r="O2" s="32" t="s">
        <v>62</v>
      </c>
    </row>
    <row r="3" spans="1:16">
      <c r="A3" s="9" t="s">
        <v>23</v>
      </c>
      <c r="B3" s="9" t="s">
        <v>24</v>
      </c>
      <c r="C3" s="28" t="s">
        <v>25</v>
      </c>
      <c r="D3" s="9" t="s">
        <v>0</v>
      </c>
      <c r="E3" s="9" t="s">
        <v>1</v>
      </c>
      <c r="F3" s="9" t="s">
        <v>26</v>
      </c>
      <c r="G3" s="9" t="s">
        <v>27</v>
      </c>
      <c r="H3" s="9" t="s">
        <v>28</v>
      </c>
      <c r="I3" s="9" t="s">
        <v>2</v>
      </c>
      <c r="J3" s="13">
        <v>0</v>
      </c>
      <c r="K3" s="13" t="s">
        <v>54</v>
      </c>
      <c r="L3" s="13" t="s">
        <v>56</v>
      </c>
      <c r="M3" s="13" t="s">
        <v>60</v>
      </c>
      <c r="N3" s="13" t="s">
        <v>61</v>
      </c>
      <c r="O3" s="13" t="s">
        <v>57</v>
      </c>
      <c r="P3" s="8">
        <v>0</v>
      </c>
    </row>
    <row r="4" spans="1:16">
      <c r="A4" s="9">
        <v>1</v>
      </c>
      <c r="B4" s="9" t="s">
        <v>3</v>
      </c>
      <c r="C4" s="29">
        <v>42736</v>
      </c>
      <c r="D4" s="10">
        <v>100000</v>
      </c>
      <c r="E4" s="11">
        <v>0.05</v>
      </c>
      <c r="F4" s="9">
        <v>5</v>
      </c>
      <c r="G4" s="10">
        <f>IF($E$2&lt;C4,0,IF(OR(DATEDIF(C4,EOMONTH($E$2,0),"M")=0,DATEDIF(C4,EOMONTH($E$2,0),"M")&gt;F4*12),0,IF(DATEDIF(C4,EOMONTH($E$2,0),"M")&lt;(F4-2)*12,DDB(D4,D4*E4,F4,ROUNDUP(DATEDIF(C4,EOMONTH($E$2,0),"M")/12,0)),(D4*(1-2/F4)^(F4-2)-D4*E4)/2)))/12</f>
        <v>691.66666666666663</v>
      </c>
      <c r="H4" s="10">
        <f>IF(DATE(YEAR($E$2),12,31)&lt;C4,0,IF(DATEDIF(C4,DATE(YEAR($E$2),12,31),"M")=0,0,IF(DATEDIF(C4,DATE(YEAR($E$2),12,31),"M")&lt;=12,DATEDIF(C4,DATE(YEAR($E$2),12,31),"M")*DDB(D4,,F4,1)/12,IF(DATEDIF(C4,DATE(YEAR($E$2),12,31),"Y")&lt;F4-2,(DDB(D4,,F4,DATEDIF(C4,DATE(YEAR($E$2),12,31),"Y"))*(12-DATEDIF(C4,DATE(YEAR($E$2),12,31),"YM"))+DDB(D4,,F4,DATEDIF(C4,DATE(YEAR($E$2),12,31),"Y")+1)*DATEDIF(C4,DATE(YEAR($E$2),12,31),"YM"))/12,IF(DATEDIF(C4,DATE(YEAR($E$2),12,31),"Y")&lt;=F4-1,(DDB(D4,,F4,F4-2)*(12-DATEDIF(C4,DATE(YEAR($E$2),12,31),"YM"))+(D4*(1-2/F4)^(F4-2)-D4*E4)/2*DATEDIF(C4,DATE(YEAR($E$2),12,31),"YM"))/12,IF(DATEDIF(C4,DATE(YEAR($E$2),12,31),"Y")=F4,(12-DATEDIF(C4,DATE(YEAR($E$2),12,31),"YM"))*(D4*(1-2/F4)^(F4-2)-D4*E4)/24,0))))))</f>
        <v>8808.3333333333339</v>
      </c>
      <c r="I4" s="10">
        <f>IF(C4&gt;$E$2,0,IF(DATEDIF(C4,EOMONTH($E$2,0),"M")&lt;(F4-2)*12,G4*MOD((DATEDIF(C4,EOMONTH($E$2,0),"M")),12)+D4*(1-(1-2/F4)^DATEDIF(C4,EOMONTH($E$2,0),"Y")),IF(DATEDIF(C4,EOMONTH($E$2,0),"M")&lt;F4*12,(D4*((1-2/F4)^(F4-2)-E4)/24)*(DATEDIF(C4,EOMONTH($E$2,0),"M")-(F4-2)*12)+D4*(1-(1-2/F4)^(F4-2)),D4*(1-E4))))</f>
        <v>86700</v>
      </c>
      <c r="J4" s="13">
        <f>IF(DATE(YEAR($E$2),12,31)&lt;C4,0,IF(DATEDIF(C4,DATE(YEAR($E$2),12,31),"M")=0,0,1))</f>
        <v>1</v>
      </c>
      <c r="K4" s="13">
        <f>IF(DATEDIF(C4,DATE(YEAR($E$2),12,31),"M")&lt;=12,DATEDIF(C4,DATE(YEAR($E$2),12,31),"M")*DDB(D4,,F4,1)/12,1)</f>
        <v>1</v>
      </c>
      <c r="L4" s="26">
        <f>IF(DATEDIF(C4,DATE(YEAR($E$2),12,31),"Y")&lt;F4-2,(DDB(D4,,F4,DATEDIF(C4,DATE(YEAR($E$2),12,31),"Y"))*(12-DATEDIF(C4,DATE(YEAR($E$2),12,31),"YM"))+DDB(D4,,F4,DATEDIF(C4,DATE(YEAR($E$2),12,31),"Y")+1)*DATEDIF(C4,DATE(YEAR($E$2),12,31),"YM"))/12,1)</f>
        <v>1</v>
      </c>
      <c r="M4" s="12">
        <f>IF(DATEDIF(C4,DATE(YEAR($E$2),12,31),"Y")&lt;=F4-1,(DDB(D4,,F4,F4-2)*(12-DATEDIF(C4,DATE(YEAR($E$2),12,31),"YM"))+(D4*(1-2/F4)^(F4-2)-D4*E4)/2*DATEDIF(C4,DATE(YEAR($E$2),12,31),"YM"))/12,4)</f>
        <v>8808.3333333333339</v>
      </c>
      <c r="N4" s="12">
        <f>IF(DATEDIF(C4,DATE(YEAR($E$2),12,31),"Y")&lt;F4,(D4*(1-2/F4)^(F4-2)-D4*E4)/2,5)</f>
        <v>8300</v>
      </c>
      <c r="O4" s="12">
        <f>IF(DATEDIF(C4,DATE(YEAR($E$2),12,31),"Y")=F4,(12-DATEDIF(C4,DATE(YEAR($E$2),12,31),"YM"))*(D4*(1-2/F4)^(F4-2)-D4*E4)/24,0)</f>
        <v>0</v>
      </c>
    </row>
    <row r="5" spans="1:16">
      <c r="A5" s="9">
        <v>2</v>
      </c>
      <c r="B5" s="9" t="s">
        <v>4</v>
      </c>
      <c r="C5" s="29">
        <v>42371</v>
      </c>
      <c r="D5" s="10">
        <v>100000</v>
      </c>
      <c r="E5" s="11">
        <v>0.05</v>
      </c>
      <c r="F5" s="9">
        <v>5</v>
      </c>
      <c r="G5" s="10">
        <f t="shared" ref="G5:G16" si="0">IF($E$2&lt;C5,0,IF(OR(DATEDIF(C5,EOMONTH($E$2,0),"M")=0,DATEDIF(C5,EOMONTH($E$2,0),"M")&gt;F5*12),0,IF(DATEDIF(C5,EOMONTH($E$2,0),"M")&lt;(F5-2)*12,DDB(D5,D5*E5,F5,ROUNDUP(DATEDIF(C5,EOMONTH($E$2,0),"M")/12,0)),(D5*(1-2/F5)^(F5-2)-D5*E5)/2)))/12</f>
        <v>691.66666666666663</v>
      </c>
      <c r="H5" s="10">
        <f t="shared" ref="H5:H16" si="1">IF(DATE(YEAR($E$2),12,31)&lt;C5,0,IF(DATEDIF(C5,DATE(YEAR($E$2),12,31),"M")=0,0,IF(DATEDIF(C5,DATE(YEAR($E$2),12,31),"M")&lt;=12,DATEDIF(C5,DATE(YEAR($E$2),12,31),"M")*DDB(D5,,F5,1)/12,IF(DATEDIF(C5,DATE(YEAR($E$2),12,31),"Y")&lt;F5-2,(DDB(D5,,F5,DATEDIF(C5,DATE(YEAR($E$2),12,31),"Y"))*(12-DATEDIF(C5,DATE(YEAR($E$2),12,31),"YM"))+DDB(D5,,F5,DATEDIF(C5,DATE(YEAR($E$2),12,31),"Y")+1)*DATEDIF(C5,DATE(YEAR($E$2),12,31),"YM"))/12,IF(DATEDIF(C5,DATE(YEAR($E$2),12,31),"Y")&lt;=F5-1,(DDB(D5,,F5,F5-2)*(12-DATEDIF(C5,DATE(YEAR($E$2),12,31),"YM"))+(D5*(1-2/F5)^(F5-2)-D5*E5)/2*DATEDIF(C5,DATE(YEAR($E$2),12,31),"YM"))/12,IF(DATEDIF(C5,DATE(YEAR($E$2),12,31),"Y")=F5,(12-DATEDIF(C5,DATE(YEAR($E$2),12,31),"YM"))*(D5*(1-2/F5)^(F5-2)-D5*E5)/24,0))))))</f>
        <v>691.66666666666663</v>
      </c>
      <c r="I5" s="10">
        <f t="shared" ref="I5:I16" si="2">IF(C5&gt;$E$2,0,IF(DATEDIF(C5,EOMONTH($E$2,0),"M")&lt;(F5-2)*12,G5*MOD((DATEDIF(C5,EOMONTH($E$2,0),"M")),12)+D5*(1-(1-2/F5)^DATEDIF(C5,EOMONTH($E$2,0),"Y")),IF(DATEDIF(C5,EOMONTH($E$2,0),"M")&lt;F5*12,(D5*((1-2/F5)^(F5-2)-E5)/24)*(DATEDIF(C5,EOMONTH($E$2,0),"M")-(F5-2)*12)+D5*(1-(1-2/F5)^(F5-2)),D5*(1-E5))))</f>
        <v>95000</v>
      </c>
      <c r="J5" s="13">
        <f t="shared" ref="J5:J16" si="3">IF(DATE(YEAR($E$2),12,31)&lt;C5,0,IF(DATEDIF(C5,DATE(YEAR($E$2),12,31),"M")=0,0,1))</f>
        <v>1</v>
      </c>
      <c r="K5" s="13">
        <f t="shared" ref="K5:K16" si="4">IF(DATEDIF(C5,DATE(YEAR($E$2),12,31),"M")&lt;=12,DATEDIF(C5,DATE(YEAR($E$2),12,31),"M")*DDB(D5,,F5,1)/12,1)</f>
        <v>1</v>
      </c>
      <c r="L5" s="26">
        <f t="shared" ref="L5:L16" si="5">IF(DATEDIF(C5,DATE(YEAR($E$2),12,31),"Y")&lt;F5-2,(DDB(D5,,F5,DATEDIF(C5,DATE(YEAR($E$2),12,31),"Y"))*(12-DATEDIF(C5,DATE(YEAR($E$2),12,31),"YM"))+DDB(D5,,F5,DATEDIF(C5,DATE(YEAR($E$2),12,31),"Y")+1)*DATEDIF(C5,DATE(YEAR($E$2),12,31),"YM"))/12,1)</f>
        <v>1</v>
      </c>
      <c r="M5" s="12">
        <f t="shared" ref="M5:M16" si="6">IF(DATEDIF(C5,DATE(YEAR($E$2),12,31),"Y")&lt;=F5-1,(DDB(D5,,F5,F5-2)*(12-DATEDIF(C5,DATE(YEAR($E$2),12,31),"YM"))+(D5*(1-2/F5)^(F5-2)-D5*E5)/2*DATEDIF(C5,DATE(YEAR($E$2),12,31),"YM"))/12,4)</f>
        <v>4</v>
      </c>
      <c r="N5" s="12">
        <f t="shared" ref="N5:N16" si="7">IF(DATEDIF(C5,DATE(YEAR($E$2),12,31),"Y")&lt;F5,(D5*(1-2/F5)^(F5-2)-D5*E5)/2,5)</f>
        <v>5</v>
      </c>
      <c r="O5" s="12">
        <f t="shared" ref="O5:O16" si="8">IF(DATEDIF(C5,DATE(YEAR($E$2),12,31),"Y")=F5,(12-DATEDIF(C5,DATE(YEAR($E$2),12,31),"YM"))*(D5*(1-2/F5)^(F5-2)-D5*E5)/24,0)</f>
        <v>691.66666666666663</v>
      </c>
    </row>
    <row r="6" spans="1:16">
      <c r="A6" s="9">
        <v>3</v>
      </c>
      <c r="B6" s="9" t="s">
        <v>5</v>
      </c>
      <c r="C6" s="29">
        <v>42007</v>
      </c>
      <c r="D6" s="10">
        <v>100000</v>
      </c>
      <c r="E6" s="11">
        <v>0.05</v>
      </c>
      <c r="F6" s="9">
        <v>5</v>
      </c>
      <c r="G6" s="10">
        <f t="shared" si="0"/>
        <v>0</v>
      </c>
      <c r="H6" s="10">
        <f t="shared" si="1"/>
        <v>0</v>
      </c>
      <c r="I6" s="10">
        <f t="shared" si="2"/>
        <v>95000</v>
      </c>
      <c r="J6" s="13">
        <f t="shared" si="3"/>
        <v>1</v>
      </c>
      <c r="K6" s="13">
        <f t="shared" si="4"/>
        <v>1</v>
      </c>
      <c r="L6" s="26">
        <f t="shared" si="5"/>
        <v>1</v>
      </c>
      <c r="M6" s="12">
        <f t="shared" si="6"/>
        <v>4</v>
      </c>
      <c r="N6" s="12">
        <f t="shared" si="7"/>
        <v>5</v>
      </c>
      <c r="O6" s="12">
        <f t="shared" si="8"/>
        <v>0</v>
      </c>
    </row>
    <row r="7" spans="1:16">
      <c r="A7" s="9">
        <v>4</v>
      </c>
      <c r="B7" s="9" t="s">
        <v>6</v>
      </c>
      <c r="C7" s="29">
        <v>43104</v>
      </c>
      <c r="D7" s="10">
        <v>100000</v>
      </c>
      <c r="E7" s="11">
        <v>0.05</v>
      </c>
      <c r="F7" s="9">
        <v>5</v>
      </c>
      <c r="G7" s="10">
        <f t="shared" si="0"/>
        <v>691.66666666666663</v>
      </c>
      <c r="H7" s="10">
        <f t="shared" si="1"/>
        <v>8808.3333333333339</v>
      </c>
      <c r="I7" s="10">
        <f t="shared" si="2"/>
        <v>78400</v>
      </c>
      <c r="J7" s="13">
        <f t="shared" si="3"/>
        <v>1</v>
      </c>
      <c r="K7" s="13">
        <f t="shared" si="4"/>
        <v>1</v>
      </c>
      <c r="L7" s="26">
        <f t="shared" si="5"/>
        <v>1</v>
      </c>
      <c r="M7" s="12">
        <f t="shared" si="6"/>
        <v>8808.3333333333339</v>
      </c>
      <c r="N7" s="12">
        <f t="shared" si="7"/>
        <v>8300</v>
      </c>
      <c r="O7" s="12">
        <f t="shared" si="8"/>
        <v>0</v>
      </c>
    </row>
    <row r="8" spans="1:16">
      <c r="A8" s="9">
        <v>5</v>
      </c>
      <c r="B8" s="9" t="s">
        <v>7</v>
      </c>
      <c r="C8" s="29">
        <v>41644</v>
      </c>
      <c r="D8" s="10">
        <v>100000</v>
      </c>
      <c r="E8" s="11">
        <v>0.05</v>
      </c>
      <c r="F8" s="9">
        <v>5</v>
      </c>
      <c r="G8" s="10">
        <f t="shared" si="0"/>
        <v>0</v>
      </c>
      <c r="H8" s="10">
        <f t="shared" si="1"/>
        <v>0</v>
      </c>
      <c r="I8" s="10">
        <f t="shared" si="2"/>
        <v>95000</v>
      </c>
      <c r="J8" s="13">
        <f t="shared" si="3"/>
        <v>1</v>
      </c>
      <c r="K8" s="13">
        <f t="shared" si="4"/>
        <v>1</v>
      </c>
      <c r="L8" s="26">
        <f t="shared" si="5"/>
        <v>1</v>
      </c>
      <c r="M8" s="12">
        <f t="shared" si="6"/>
        <v>4</v>
      </c>
      <c r="N8" s="12">
        <f t="shared" si="7"/>
        <v>5</v>
      </c>
      <c r="O8" s="12">
        <f t="shared" si="8"/>
        <v>0</v>
      </c>
    </row>
    <row r="9" spans="1:16">
      <c r="A9" s="9">
        <v>6</v>
      </c>
      <c r="B9" s="9" t="s">
        <v>8</v>
      </c>
      <c r="C9" s="29">
        <v>42795</v>
      </c>
      <c r="D9" s="10">
        <v>100000</v>
      </c>
      <c r="E9" s="11">
        <v>0.05</v>
      </c>
      <c r="F9" s="9">
        <v>5</v>
      </c>
      <c r="G9" s="10">
        <f t="shared" si="0"/>
        <v>691.66666666666663</v>
      </c>
      <c r="H9" s="10">
        <f t="shared" si="1"/>
        <v>9825</v>
      </c>
      <c r="I9" s="10">
        <f t="shared" si="2"/>
        <v>85316.666666666672</v>
      </c>
      <c r="J9" s="13">
        <f t="shared" si="3"/>
        <v>1</v>
      </c>
      <c r="K9" s="13">
        <f t="shared" si="4"/>
        <v>1</v>
      </c>
      <c r="L9" s="26">
        <f t="shared" si="5"/>
        <v>1</v>
      </c>
      <c r="M9" s="12">
        <f t="shared" si="6"/>
        <v>9825</v>
      </c>
      <c r="N9" s="12">
        <f t="shared" si="7"/>
        <v>8300</v>
      </c>
      <c r="O9" s="12">
        <f t="shared" si="8"/>
        <v>0</v>
      </c>
    </row>
    <row r="10" spans="1:16">
      <c r="A10" s="9">
        <v>7</v>
      </c>
      <c r="B10" s="9" t="s">
        <v>9</v>
      </c>
      <c r="C10" s="29">
        <v>42742</v>
      </c>
      <c r="D10" s="10">
        <v>100000</v>
      </c>
      <c r="E10" s="11">
        <v>0.05</v>
      </c>
      <c r="F10" s="9">
        <v>5</v>
      </c>
      <c r="G10" s="10">
        <f t="shared" si="0"/>
        <v>691.66666666666663</v>
      </c>
      <c r="H10" s="10">
        <f t="shared" si="1"/>
        <v>8808.3333333333339</v>
      </c>
      <c r="I10" s="10">
        <f t="shared" si="2"/>
        <v>86700</v>
      </c>
      <c r="J10" s="13">
        <f t="shared" si="3"/>
        <v>1</v>
      </c>
      <c r="K10" s="13">
        <f t="shared" si="4"/>
        <v>1</v>
      </c>
      <c r="L10" s="26">
        <f t="shared" si="5"/>
        <v>1</v>
      </c>
      <c r="M10" s="12">
        <f t="shared" si="6"/>
        <v>8808.3333333333339</v>
      </c>
      <c r="N10" s="12">
        <f t="shared" si="7"/>
        <v>8300</v>
      </c>
      <c r="O10" s="12">
        <f t="shared" si="8"/>
        <v>0</v>
      </c>
    </row>
    <row r="11" spans="1:16">
      <c r="A11" s="9">
        <v>8</v>
      </c>
      <c r="B11" s="9" t="s">
        <v>10</v>
      </c>
      <c r="C11" s="31">
        <v>43077</v>
      </c>
      <c r="D11" s="10">
        <v>100000</v>
      </c>
      <c r="E11" s="11">
        <v>0.05</v>
      </c>
      <c r="F11" s="9">
        <v>5</v>
      </c>
      <c r="G11" s="10">
        <f t="shared" si="0"/>
        <v>691.66666666666663</v>
      </c>
      <c r="H11" s="10">
        <f t="shared" si="1"/>
        <v>14400</v>
      </c>
      <c r="I11" s="10">
        <f t="shared" si="2"/>
        <v>79091.666666666672</v>
      </c>
      <c r="J11" s="13">
        <f t="shared" si="3"/>
        <v>1</v>
      </c>
      <c r="K11" s="13">
        <f t="shared" si="4"/>
        <v>1</v>
      </c>
      <c r="L11" s="26">
        <f t="shared" si="5"/>
        <v>1</v>
      </c>
      <c r="M11" s="12">
        <f t="shared" si="6"/>
        <v>14400</v>
      </c>
      <c r="N11" s="12">
        <f t="shared" si="7"/>
        <v>8300</v>
      </c>
      <c r="O11" s="12">
        <f t="shared" si="8"/>
        <v>0</v>
      </c>
    </row>
    <row r="12" spans="1:16">
      <c r="A12" s="9">
        <v>9</v>
      </c>
      <c r="B12" s="9" t="s">
        <v>11</v>
      </c>
      <c r="C12" s="29">
        <v>42705</v>
      </c>
      <c r="D12" s="10">
        <v>100000</v>
      </c>
      <c r="E12" s="11">
        <v>0.05</v>
      </c>
      <c r="F12" s="9">
        <v>5</v>
      </c>
      <c r="G12" s="10">
        <f t="shared" si="0"/>
        <v>691.66666666666663</v>
      </c>
      <c r="H12" s="10">
        <f t="shared" si="1"/>
        <v>8300</v>
      </c>
      <c r="I12" s="10">
        <f t="shared" si="2"/>
        <v>87391.666666666657</v>
      </c>
      <c r="J12" s="13">
        <f t="shared" si="3"/>
        <v>1</v>
      </c>
      <c r="K12" s="13">
        <f t="shared" si="4"/>
        <v>1</v>
      </c>
      <c r="L12" s="26">
        <f t="shared" si="5"/>
        <v>1</v>
      </c>
      <c r="M12" s="12">
        <f t="shared" si="6"/>
        <v>4</v>
      </c>
      <c r="N12" s="12">
        <f t="shared" si="7"/>
        <v>5</v>
      </c>
      <c r="O12" s="12">
        <f t="shared" si="8"/>
        <v>8300</v>
      </c>
    </row>
    <row r="13" spans="1:16">
      <c r="A13" s="9">
        <v>10</v>
      </c>
      <c r="B13" s="9" t="s">
        <v>29</v>
      </c>
      <c r="C13" s="29">
        <v>43018</v>
      </c>
      <c r="D13" s="10">
        <v>100000</v>
      </c>
      <c r="E13" s="11">
        <v>0.05</v>
      </c>
      <c r="F13" s="9">
        <v>5</v>
      </c>
      <c r="G13" s="10">
        <f t="shared" si="0"/>
        <v>691.66666666666663</v>
      </c>
      <c r="H13" s="10">
        <f t="shared" si="1"/>
        <v>13383.333333333334</v>
      </c>
      <c r="I13" s="10">
        <f t="shared" si="2"/>
        <v>80475</v>
      </c>
      <c r="J13" s="13">
        <f t="shared" si="3"/>
        <v>1</v>
      </c>
      <c r="K13" s="13">
        <f t="shared" si="4"/>
        <v>1</v>
      </c>
      <c r="L13" s="26">
        <f t="shared" si="5"/>
        <v>1</v>
      </c>
      <c r="M13" s="12">
        <f t="shared" si="6"/>
        <v>13383.333333333334</v>
      </c>
      <c r="N13" s="12">
        <f t="shared" si="7"/>
        <v>8300</v>
      </c>
      <c r="O13" s="12">
        <f t="shared" si="8"/>
        <v>0</v>
      </c>
    </row>
    <row r="14" spans="1:16">
      <c r="A14" s="9">
        <v>11</v>
      </c>
      <c r="B14" s="9" t="s">
        <v>30</v>
      </c>
      <c r="C14" s="29">
        <v>43050</v>
      </c>
      <c r="D14" s="10">
        <v>100000</v>
      </c>
      <c r="E14" s="11">
        <v>0.05</v>
      </c>
      <c r="F14" s="9">
        <v>5</v>
      </c>
      <c r="G14" s="10">
        <f t="shared" si="0"/>
        <v>691.66666666666663</v>
      </c>
      <c r="H14" s="10">
        <f t="shared" si="1"/>
        <v>13891.666666666666</v>
      </c>
      <c r="I14" s="10">
        <f t="shared" si="2"/>
        <v>79783.333333333328</v>
      </c>
      <c r="J14" s="13">
        <f t="shared" si="3"/>
        <v>1</v>
      </c>
      <c r="K14" s="13">
        <f t="shared" si="4"/>
        <v>1</v>
      </c>
      <c r="L14" s="26">
        <f t="shared" si="5"/>
        <v>1</v>
      </c>
      <c r="M14" s="12">
        <f t="shared" si="6"/>
        <v>13891.666666666666</v>
      </c>
      <c r="N14" s="12">
        <f t="shared" si="7"/>
        <v>8300</v>
      </c>
      <c r="O14" s="12">
        <f t="shared" si="8"/>
        <v>0</v>
      </c>
    </row>
    <row r="15" spans="1:16">
      <c r="A15" s="9">
        <v>12</v>
      </c>
      <c r="B15" s="9" t="s">
        <v>31</v>
      </c>
      <c r="C15" s="31">
        <v>43081</v>
      </c>
      <c r="D15" s="10">
        <v>100000</v>
      </c>
      <c r="E15" s="11">
        <v>0.05</v>
      </c>
      <c r="F15" s="9">
        <v>5</v>
      </c>
      <c r="G15" s="10">
        <f t="shared" si="0"/>
        <v>691.66666666666663</v>
      </c>
      <c r="H15" s="10">
        <f t="shared" si="1"/>
        <v>14400</v>
      </c>
      <c r="I15" s="10">
        <f t="shared" si="2"/>
        <v>79091.666666666672</v>
      </c>
      <c r="J15" s="13">
        <f t="shared" si="3"/>
        <v>1</v>
      </c>
      <c r="K15" s="13">
        <f>IF(DATEDIF(C15,DATE(YEAR($E$2),12,31),"M")&lt;=12,DATEDIF(C15,DATE(YEAR($E$2),12,31),"M")*DDB(D15,,F15,1)/12,1)</f>
        <v>1</v>
      </c>
      <c r="L15" s="26">
        <f t="shared" si="5"/>
        <v>1</v>
      </c>
      <c r="M15" s="12">
        <f t="shared" si="6"/>
        <v>14400</v>
      </c>
      <c r="N15" s="12">
        <f t="shared" si="7"/>
        <v>8300</v>
      </c>
      <c r="O15" s="12">
        <f t="shared" si="8"/>
        <v>0</v>
      </c>
    </row>
    <row r="16" spans="1:16">
      <c r="A16" s="9">
        <v>13</v>
      </c>
      <c r="B16" s="9" t="s">
        <v>32</v>
      </c>
      <c r="C16" s="29">
        <v>43040</v>
      </c>
      <c r="D16" s="10">
        <v>100000</v>
      </c>
      <c r="E16" s="11">
        <v>0.05</v>
      </c>
      <c r="F16" s="9">
        <v>5</v>
      </c>
      <c r="G16" s="10">
        <f t="shared" si="0"/>
        <v>691.66666666666663</v>
      </c>
      <c r="H16" s="10">
        <f t="shared" si="1"/>
        <v>13891.666666666666</v>
      </c>
      <c r="I16" s="10">
        <f t="shared" si="2"/>
        <v>79783.333333333328</v>
      </c>
      <c r="J16" s="13">
        <f t="shared" si="3"/>
        <v>1</v>
      </c>
      <c r="K16" s="13">
        <f t="shared" si="4"/>
        <v>1</v>
      </c>
      <c r="L16" s="26">
        <f t="shared" si="5"/>
        <v>1</v>
      </c>
      <c r="M16" s="12">
        <f t="shared" si="6"/>
        <v>13891.666666666666</v>
      </c>
      <c r="N16" s="12">
        <f t="shared" si="7"/>
        <v>8300</v>
      </c>
      <c r="O16" s="12">
        <f t="shared" si="8"/>
        <v>0</v>
      </c>
    </row>
    <row r="17" spans="1:16">
      <c r="A17" s="9"/>
      <c r="B17" s="9" t="s">
        <v>33</v>
      </c>
      <c r="C17" s="28"/>
      <c r="D17" s="9"/>
      <c r="E17" s="9"/>
      <c r="F17" s="9"/>
      <c r="G17" s="9"/>
      <c r="H17" s="9"/>
      <c r="I17" s="9"/>
    </row>
    <row r="18" spans="1:16" ht="19.5" customHeight="1">
      <c r="A18" s="20" t="s">
        <v>42</v>
      </c>
      <c r="B18" s="20"/>
      <c r="C18" s="20"/>
      <c r="D18" s="20"/>
      <c r="E18" s="20"/>
      <c r="F18" s="20"/>
      <c r="G18" s="20"/>
      <c r="H18" s="20"/>
      <c r="I18" s="20"/>
      <c r="J18" s="13">
        <v>0</v>
      </c>
      <c r="K18" s="13">
        <v>1</v>
      </c>
      <c r="L18" s="13">
        <v>2</v>
      </c>
      <c r="M18" s="13">
        <v>3</v>
      </c>
      <c r="N18" s="13">
        <v>4</v>
      </c>
      <c r="O18" s="13">
        <v>5</v>
      </c>
      <c r="P18" s="8">
        <v>6</v>
      </c>
    </row>
  </sheetData>
  <mergeCells count="3">
    <mergeCell ref="A1:I1"/>
    <mergeCell ref="E2:F2"/>
    <mergeCell ref="A18:I1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6" sqref="L16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直线法1</vt:lpstr>
      <vt:lpstr>直线法2</vt:lpstr>
      <vt:lpstr>年限总和法</vt:lpstr>
      <vt:lpstr>年限总和法2</vt:lpstr>
      <vt:lpstr>双倍余额递减法</vt:lpstr>
      <vt:lpstr>双倍余额递减法2</vt:lpstr>
      <vt:lpstr>Sheet12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2018-05-16T13:30:46Z</cp:lastPrinted>
  <dcterms:created xsi:type="dcterms:W3CDTF">2018-01-24T11:16:47Z</dcterms:created>
  <dcterms:modified xsi:type="dcterms:W3CDTF">2018-05-20T08:04:18Z</dcterms:modified>
</cp:coreProperties>
</file>